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 me" sheetId="1" r:id="rId1"/>
    <sheet name="Box 1" sheetId="2" r:id="rId2"/>
    <sheet name="Box 2" sheetId="3" r:id="rId3"/>
    <sheet name="Box 3" sheetId="4" r:id="rId4"/>
    <sheet name="Box 4" sheetId="5" r:id="rId5"/>
    <sheet name="Settings" sheetId="6" r:id="rId6"/>
  </sheets>
  <calcPr fullCalcOnLoad="1"/>
</workbook>
</file>

<file path=xl/styles.xml><?xml version="1.0" encoding="utf-8"?>
<styleSheet xmlns="http://schemas.openxmlformats.org/spreadsheetml/2006/main">
  <numFmts count="1">
    <numFmt numFmtId="164" formatCode="dd/mm/yyyy"/>
  </numFmts>
  <fonts count="12">
    <font>
      <sz val="11"/>
      <color rgb="FF0E1F28"/>
      <name val="Calibri"/>
      <family val="2"/>
    </font>
    <font>
      <b/>
      <sz val="11"/>
      <color rgb="FF0E1F28"/>
      <name val="Calibri"/>
      <family val="2"/>
    </font>
    <font>
      <b/>
      <sz val="18"/>
      <color rgb="FFFFFFFF"/>
      <name val="Calibri"/>
      <family val="2"/>
    </font>
    <font>
      <sz val="10"/>
      <color rgb="FFD8B76A"/>
      <name val="Calibri"/>
      <family val="2"/>
    </font>
    <font>
      <b/>
      <sz val="13"/>
      <color rgb="FF194963"/>
      <name val="Calibri"/>
      <family val="2"/>
    </font>
    <font>
      <b/>
      <sz val="10"/>
      <color rgb="FFFFFFFF"/>
      <name val="Calibri"/>
      <family val="2"/>
    </font>
    <font>
      <sz val="10"/>
      <color rgb="FF586C77"/>
      <name val="Calibri"/>
      <family val="2"/>
    </font>
    <font>
      <i/>
      <sz val="11"/>
      <color rgb="FF586C77"/>
      <name val="Calibri"/>
      <family val="2"/>
    </font>
    <font>
      <b/>
      <sz val="12"/>
      <color rgb="FF846528"/>
      <name val="Calibri"/>
      <family val="2"/>
    </font>
    <font>
      <b/>
      <sz val="10"/>
      <color rgb="FF194963"/>
      <name val="Calibri"/>
      <family val="2"/>
    </font>
    <font>
      <sz val="11"/>
      <color rgb="FF4B5963"/>
      <name val="Calibri"/>
      <family val="2"/>
    </font>
    <font>
      <b/>
      <sz val="11"/>
      <color rgb="FFD8B76A"/>
      <name val="Calibri"/>
      <family val="2"/>
    </font>
  </fonts>
  <fills count="7">
    <fill>
      <patternFill patternType="none"/>
    </fill>
    <fill>
      <patternFill patternType="gray125"/>
    </fill>
    <fill>
      <patternFill patternType="solid">
        <fgColor rgb="FF194963"/>
        <bgColor indexed="64"/>
      </patternFill>
    </fill>
    <fill>
      <patternFill patternType="solid">
        <fgColor rgb="FFFFF8E6"/>
        <bgColor indexed="64"/>
      </patternFill>
    </fill>
    <fill>
      <patternFill patternType="solid">
        <fgColor rgb="FFF3F0EA"/>
        <bgColor indexed="64"/>
      </patternFill>
    </fill>
    <fill>
      <patternFill patternType="solid">
        <fgColor rgb="FF0D2E41"/>
        <bgColor indexed="64"/>
      </patternFill>
    </fill>
    <fill>
      <patternFill patternType="solid">
        <fgColor rgb="FFF6F1E7"/>
        <bgColor indexed="64"/>
      </patternFill>
    </fill>
  </fills>
  <borders count="3">
    <border>
      <left/>
      <right/>
      <top/>
      <bottom/>
      <diagonal/>
    </border>
    <border>
      <left style="thin">
        <color rgb="FFDCD4C4"/>
      </left>
      <right style="thin">
        <color rgb="FFDCD4C4"/>
      </right>
      <top style="thin">
        <color rgb="FFDCD4C4"/>
      </top>
      <bottom style="thin">
        <color rgb="FFDCD4C4"/>
      </bottom>
      <diagonal/>
    </border>
    <border>
      <left/>
      <right/>
      <top/>
      <bottom style="medium">
        <color rgb="FFB08A3E"/>
      </bottom>
      <diagonal/>
    </border>
  </borders>
  <cellStyleXfs count="1">
    <xf numFmtId="0" fontId="0" fillId="0" borderId="0"/>
  </cellStyleXfs>
  <cellXfs count="28">
    <xf numFmtId="0" fontId="0" fillId="0" borderId="0" xfId="0" applyFont="1" applyFill="1" applyBorder="1"/>
    <xf numFmtId="0" fontId="2" fillId="2" borderId="0" xfId="0" applyFont="1" applyFill="1" applyBorder="1" applyAlignment="1">
      <alignment vertical="center" indent="1"/>
    </xf>
    <xf numFmtId="0" fontId="3" fillId="2" borderId="0" xfId="0" applyFont="1" applyFill="1" applyBorder="1" applyAlignment="1">
      <alignment vertical="center" wrapText="1" indent="1"/>
    </xf>
    <xf numFmtId="0" fontId="3" fillId="2" borderId="0" xfId="0" applyFont="1" applyFill="1" applyBorder="1" applyAlignment="1">
      <alignment horizontal="right" vertical="center" indent="1"/>
    </xf>
    <xf numFmtId="0" fontId="11" fillId="2" borderId="0" xfId="0" applyFont="1" applyFill="1" applyBorder="1" applyAlignment="1">
      <alignment horizontal="right" vertical="center" indent="1"/>
    </xf>
    <xf numFmtId="0" fontId="4" fillId="0" borderId="2" xfId="0" applyFont="1" applyFill="1" applyBorder="1" applyAlignment="1">
      <alignment vertical="bottom"/>
    </xf>
    <xf numFmtId="0" fontId="6" fillId="0" borderId="0" xfId="0" applyFont="1" applyFill="1" applyBorder="1" applyAlignment="1">
      <alignment wrapText="1" vertical="top"/>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indent="1"/>
    </xf>
    <xf numFmtId="0" fontId="9" fillId="6" borderId="1" xfId="0" applyFont="1" applyFill="1" applyBorder="1" applyAlignment="1">
      <alignment horizontal="center" vertical="center"/>
    </xf>
    <xf numFmtId="49" fontId="1" fillId="3" borderId="1" xfId="0" applyFont="1" applyFill="1" applyBorder="1" applyNumberFormat="1" applyAlignment="1">
      <alignment vertical="center" indent="1"/>
    </xf>
    <xf numFmtId="0" fontId="9" fillId="6" borderId="1" xfId="0" applyFont="1" applyFill="1" applyBorder="1" applyAlignment="1">
      <alignment horizontal="center" vertical="center" wrapText="1"/>
    </xf>
    <xf numFmtId="49" fontId="0" fillId="3" borderId="1" xfId="0" applyFont="1" applyFill="1" applyBorder="1" applyNumberFormat="1" applyAlignment="1">
      <alignment horizontal="center" vertical="center"/>
    </xf>
    <xf numFmtId="49" fontId="7" fillId="4" borderId="1" xfId="0" applyFont="1" applyFill="1" applyBorder="1" applyNumberFormat="1" applyAlignment="1">
      <alignment horizontal="center" vertical="center"/>
    </xf>
    <xf numFmtId="0" fontId="0" fillId="5" borderId="1" xfId="0" applyFont="1" applyFill="1" applyBorder="1"/>
    <xf numFmtId="0" fontId="10" fillId="0" borderId="1" xfId="0" applyFont="1" applyFill="1" applyBorder="1" applyAlignment="1">
      <alignment horizontal="center" vertical="center"/>
    </xf>
    <xf numFmtId="0" fontId="1" fillId="0" borderId="1" xfId="0" applyFont="1" applyFill="1" applyBorder="1" applyAlignment="1">
      <alignment vertical="center" indent="1"/>
    </xf>
    <xf numFmtId="0" fontId="8"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0" fillId="0" borderId="1" xfId="0" applyFont="1" applyFill="1" applyBorder="1" applyAlignment="1">
      <alignment vertical="center" indent="1"/>
    </xf>
    <xf numFmtId="0" fontId="1" fillId="3" borderId="1" xfId="0" applyFont="1" applyFill="1" applyBorder="1" applyAlignment="1">
      <alignment horizontal="center" vertical="center"/>
    </xf>
    <xf numFmtId="0" fontId="10" fillId="0" borderId="0" xfId="0" applyFont="1" applyFill="1" applyBorder="1" applyAlignment="1">
      <alignment wrapText="1" vertical="top"/>
    </xf>
    <xf numFmtId="0" fontId="1" fillId="0" borderId="0" xfId="0" applyFont="1" applyFill="1" applyBorder="1"/>
    <xf numFmtId="0" fontId="9" fillId="0" borderId="2" xfId="0" applyFont="1" applyFill="1" applyBorder="1" applyAlignment="1">
      <alignment horizontal="right" vertical="bottom" indent="1"/>
    </xf>
    <xf numFmtId="49" fontId="1" fillId="3" borderId="1" xfId="0" applyFont="1" applyFill="1" applyBorder="1" applyNumberFormat="1" applyAlignment="1">
      <alignment horizontal="center" vertical="center"/>
    </xf>
    <xf numFmtId="164" fontId="0" fillId="3" borderId="1" xfId="0" applyFont="1" applyFill="1" applyBorder="1" applyNumberFormat="1" applyAlignment="1">
      <alignment horizontal="center" vertical="center"/>
    </xf>
    <xf numFmtId="49" fontId="0" fillId="3" borderId="1" xfId="0" applyFont="1" applyFill="1" applyBorder="1" applyNumberFormat="1" applyAlignment="1">
      <alignment vertical="center" indent="1"/>
    </xf>
    <xf numFmtId="0" fontId="10" fillId="0" borderId="1" xfId="0" applyFont="1" applyFill="1" applyBorder="1" applyAlignment="1">
      <alignment vertical="center" wrapText="1" indent="1"/>
    </xf>
  </cellXfs>
  <cellStyles count="1">
    <cellStyle name="Normal" xfId="0" builtinId="0"/>
  </cellStyles>
  <dxfs count="7">
    <dxf>
      <font>
        <b/>
        <i val="0"/>
        <color rgb="FF1E6B41"/>
      </font>
      <fill>
        <patternFill patternType="solid">
          <bgColor rgb="FFDCEFE3"/>
        </patternFill>
      </fill>
    </dxf>
    <dxf>
      <font>
        <b/>
        <i val="0"/>
        <color rgb="FF8A5A00"/>
      </font>
      <fill>
        <patternFill patternType="solid">
          <bgColor rgb="FFFBEBC8"/>
        </patternFill>
      </fill>
    </dxf>
    <dxf>
      <font>
        <b/>
        <i val="0"/>
        <color rgb="FF8E2F29"/>
      </font>
      <fill>
        <patternFill patternType="solid">
          <bgColor rgb="FFF6DCDA"/>
        </patternFill>
      </fill>
    </dxf>
    <dxf>
      <font>
        <b/>
        <i val="0"/>
        <color rgb="FF1E6B41"/>
      </font>
      <fill>
        <patternFill patternType="solid">
          <bgColor rgb="FFDCEFE3"/>
        </patternFill>
      </fill>
    </dxf>
    <dxf>
      <font>
        <b/>
        <i val="0"/>
        <color rgb="FF8E2F29"/>
      </font>
      <fill>
        <patternFill patternType="solid">
          <bgColor rgb="FFF6DCDA"/>
        </patternFill>
      </fill>
    </dxf>
    <dxf>
      <font>
        <i val="0"/>
        <color rgb="FF0E1F28"/>
      </font>
      <fill>
        <patternFill patternType="solid">
          <bgColor rgb="FFFFF8E6"/>
        </patternFill>
      </fill>
    </dxf>
    <dxf>
      <font>
        <b val="0"/>
        <color rgb="FF586C77"/>
      </font>
      <fill>
        <patternFill patternType="solid">
          <bgColor rgb="FFF3F0EA"/>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Styles" Type="http://schemas.openxmlformats.org/officeDocument/2006/relationships/styles" Target="styles.xml"/></Relationships>
</file>

<file path=xl/worksheets/sheet1.xml><?xml version="1.0" encoding="utf-8"?>
<worksheet xmlns="http://schemas.openxmlformats.org/spreadsheetml/2006/main">
  <sheetPr>
    <tabColor rgb="FF194963"/>
    <pageSetUpPr fitToPage="1"/>
  </sheetPr>
  <sheetViews>
    <sheetView workbookViewId="0" showGridLines="0"/>
  </sheetViews>
  <cols>
    <col min="1" max="1" width="76" customWidth="1"/>
  </cols>
  <sheetData>
    <row r="1" ht="34" customHeight="1">
      <c r="A1" s="1" t="inlineStr">
        <is>
          <t xml:space="preserve">Squash box league spreadsheet</t>
        </is>
      </c>
    </row>
    <row r="2"/>
    <row r="3"/>
    <row r="4">
      <c r="A4" s="5" t="inlineStr">
        <is>
          <t xml:space="preserve">How it works</t>
        </is>
      </c>
    </row>
    <row r="5" ht="34" customHeight="1">
      <c r="A5" s="21" t="inlineStr">
        <is>
          <t xml:space="preserve">1. On each Box tab, type up to eight names in column B. A box of five uses the first five lines.</t>
        </is>
      </c>
    </row>
    <row r="6" ht="49" customHeight="1">
      <c r="A6" s="21" t="inlineStr">
        <is>
          <t xml:space="preserve">2. Where a row player meets a column player above the dark diagonal, pick the result in games from the drop-down, from the row player's side: 3-0, 3-1, 3-2, 2-3, 1-3, 0-3 or a walkover. Anything else is refused.</t>
        </is>
      </c>
    </row>
    <row r="7" ht="64" customHeight="1">
      <c r="A7" s="21" t="inlineStr">
        <is>
          <t xml:space="preserve">3. Played once, the other half of the grid fills itself in. Played twice (the drop-down beside the grid), the half below the diagonal turns cream for the second match. Every result is coloured: green for a win, amber for a loss having won a game, red for a loss.</t>
        </is>
      </c>
    </row>
    <row r="8" ht="34" customHeight="1">
      <c r="A8" s="21" t="inlineStr">
        <is>
          <t xml:space="preserve">4. The table sorts itself, with each player's matches left and who goes up and who goes down.</t>
        </is>
      </c>
    </row>
    <row r="9"/>
    <row r="10">
      <c r="A10" s="5" t="inlineStr">
        <is>
          <t xml:space="preserve">The points and the moves</t>
        </is>
      </c>
    </row>
    <row r="11" ht="34" customHeight="1">
      <c r="A11" s="21" t="inlineStr">
        <is>
          <t xml:space="preserve">On the Settings tab: the points for each result, how many go up and down, the matches a player must play to go up, and how many boxes you use.</t>
        </is>
      </c>
    </row>
    <row r="12"/>
    <row r="13">
      <c r="A13" s="5" t="inlineStr">
        <is>
          <t xml:space="preserve">Level on points</t>
        </is>
      </c>
    </row>
    <row r="14" ht="34" customHeight="1">
      <c r="A14" s="21" t="inlineStr">
        <is>
          <t xml:space="preserve">The result between the players decides. With three or more level, wins over each other count, then game difference, then the order the names were typed.</t>
        </is>
      </c>
    </row>
    <row r="15"/>
    <row r="16">
      <c r="A16" s="5" t="inlineStr">
        <is>
          <t xml:space="preserve">A new round</t>
        </is>
      </c>
    </row>
    <row r="17" ht="34" customHeight="1">
      <c r="A17" s="21" t="inlineStr">
        <is>
          <t xml:space="preserve">Save a copy of this file, move the names up and down, and clear the results. The old copy is the record of the round.</t>
        </is>
      </c>
    </row>
    <row r="18"/>
    <row r="19">
      <c r="A19" s="5" t="inlineStr">
        <is>
          <t xml:space="preserve">When a spreadsheet stops being enough</t>
        </is>
      </c>
    </row>
    <row r="20" ht="64" customHeight="1">
      <c r="A20" s="21" t="inlineStr">
        <is>
          <t xml:space="preserve">Players cannot enter their own scores here, and the table is only as up to date as whoever picks the results. Clayside runs the same league with players entering and confirming their own scores, and every table live for the whole club: clayside.app</t>
        </is>
      </c>
    </row>
  </sheetData>
  <pageMargins left="0.4" right="0.4" top="0.5" bottom="0.5" header="0.3" footer="0.3"/>
  <pageSetup paperSize="9" orientation="portrait" fitToWidth="1" fitToHeight="1"/>
</worksheet>
</file>

<file path=xl/worksheets/sheet2.xml><?xml version="1.0" encoding="utf-8"?>
<worksheet xmlns="http://schemas.openxmlformats.org/spreadsheetml/2006/main">
  <sheetPr>
    <tabColor rgb="FF194963"/>
    <pageSetUpPr fitToPage="1"/>
  </sheetPr>
  <sheetViews>
    <sheetView workbookViewId="0" showGridLines="0"/>
  </sheetViews>
  <cols>
    <col min="1" max="1" width="6" customWidth="1"/>
    <col min="2" max="2" width="2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3" customWidth="1"/>
    <col min="12" max="12" width="10" customWidth="1" hidden="1"/>
    <col min="13" max="13" width="10" customWidth="1" hidden="1"/>
    <col min="14" max="14" width="10" customWidth="1" hidden="1"/>
    <col min="15" max="15" width="10" customWidth="1" hidden="1"/>
    <col min="16" max="16" width="10" customWidth="1" hidden="1"/>
    <col min="17" max="17" width="10" customWidth="1" hidden="1"/>
    <col min="18" max="18" width="10" customWidth="1" hidden="1"/>
    <col min="19" max="19" width="10" customWidth="1" hidden="1"/>
    <col min="20" max="20" width="10" customWidth="1" hidden="1"/>
    <col min="21" max="21" width="10" customWidth="1" hidden="1"/>
    <col min="22" max="22" width="10" customWidth="1" hidden="1"/>
    <col min="23" max="23" width="10" customWidth="1" hidden="1"/>
    <col min="24" max="24" width="10" customWidth="1" hidden="1"/>
    <col min="25" max="25" width="10" customWidth="1" hidden="1"/>
    <col min="26" max="26" width="10" customWidth="1" hidden="1"/>
    <col min="27" max="27" width="10" customWidth="1" hidden="1"/>
  </cols>
  <sheetData>
    <row r="1" ht="34" customHeight="1">
      <c r="A1" s="1" t="inlineStr">
        <is>
          <t xml:space="preserve">Box 1</t>
        </is>
      </c>
      <c r="B1" s="2"/>
      <c r="C1" s="2"/>
      <c r="D1" s="2"/>
      <c r="E1" s="2"/>
      <c r="F1" s="2"/>
      <c r="G1" s="2"/>
      <c r="H1" s="2"/>
      <c r="I1" s="2"/>
      <c r="J1" s="2"/>
    </row>
    <row r="2" ht="44" customHeight="1">
      <c r="A2" s="6" t="inlineStr">
        <is>
          <t xml:space="preserve">Type the names in column B, and choose whether each pair plays once or twice. Then pick each result from the drop-down in a cream cell, from the row player's side, in games. The colours and the table follow by themselves.</t>
        </is>
      </c>
    </row>
    <row r="3"/>
    <row r="4" ht="26" customHeight="1">
      <c r="A4" s="5" t="inlineStr">
        <is>
          <t xml:space="preserve">Players and results</t>
        </is>
      </c>
      <c r="B4" s="5"/>
      <c r="C4" s="5"/>
      <c r="D4" s="5"/>
      <c r="E4" s="5"/>
      <c r="F4" s="5"/>
      <c r="G4" s="5"/>
      <c r="H4" s="23" t="inlineStr">
        <is>
          <t xml:space="preserve">Each pair plays</t>
        </is>
      </c>
      <c r="I4" s="23"/>
      <c r="J4" s="24" t="inlineStr">
        <is>
          <t xml:space="preserve">Once</t>
        </is>
      </c>
    </row>
    <row r="5" ht="30" customHeight="1">
      <c r="A5" s="11" t="inlineStr">
        <is>
          <t xml:space="preserve">No.</t>
        </is>
      </c>
      <c r="B5" s="11" t="inlineStr">
        <is>
          <t xml:space="preserve">Player</t>
        </is>
      </c>
      <c r="C5" s="11">
        <f>IF($B$6="","1",$B$6)</f>
      </c>
      <c r="D5" s="11">
        <f>IF($B$7="","2",$B$7)</f>
      </c>
      <c r="E5" s="11">
        <f>IF($B$8="","3",$B$8)</f>
      </c>
      <c r="F5" s="11">
        <f>IF($B$9="","4",$B$9)</f>
      </c>
      <c r="G5" s="11">
        <f>IF($B$10="","5",$B$10)</f>
      </c>
      <c r="H5" s="11">
        <f>IF($B$11="","6",$B$11)</f>
      </c>
      <c r="I5" s="11">
        <f>IF($B$12="","7",$B$12)</f>
      </c>
      <c r="J5" s="11">
        <f>IF($B$13="","8",$B$13)</f>
      </c>
      <c r="L5" s="22" t="inlineStr">
        <is>
          <t xml:space="preserve">Worked out for you</t>
        </is>
      </c>
    </row>
    <row r="6" ht="22" customHeight="1">
      <c r="A6" s="9">
        <v>1</v>
      </c>
      <c r="B6" s="10"/>
      <c r="C6" s="14"/>
      <c r="D6" s="12"/>
      <c r="E6" s="12"/>
      <c r="F6" s="12"/>
      <c r="G6" s="12"/>
      <c r="H6" s="12"/>
      <c r="I6" s="12"/>
      <c r="J6" s="12"/>
      <c r="L6">
        <f>IF($B6="","",$B6)</f>
      </c>
      <c r="M6">
        <f>IF($L6="","",(COUNTIF($D$6:$J$6,"?*")+0+($J$4="Twice")*(0+COUNTIF($C$7:$C$13,"?*"))))</f>
      </c>
      <c r="N6">
        <f>IF($L6="","",(COUNTIF($D$6:$J$6,"3-*")+0+($J$4="Twice")*(0+COUNTIF($C$7:$C$13,"?-3")))+(COUNTIF($D$6:$J$6,"Walkover won")+0+($J$4="Twice")*(0+COUNTIF($C$7:$C$13,"Walkover lost"))))</f>
      </c>
      <c r="O6">
        <f>IF($L6="","",(COUNTIF($D$6:$J$6,"1-3")+0+($J$4="Twice")*(0+COUNTIF($C$7:$C$13,"3-1")))+(COUNTIF($D$6:$J$6,"2-3")+0+($J$4="Twice")*(0+COUNTIF($C$7:$C$13,"3-2"))))</f>
      </c>
      <c r="P6">
        <f>IF($L6="","",(COUNTIF($D$6:$J$6,"0-3")+0+($J$4="Twice")*(0+COUNTIF($C$7:$C$13,"3-0"))))</f>
      </c>
      <c r="Q6">
        <f>IF($L6="","",(COUNTIF($D$6:$J$6,"Walkover won")+0+($J$4="Twice")*(0+COUNTIF($C$7:$C$13,"Walkover lost"))))</f>
      </c>
      <c r="R6">
        <f>IF($L6="","",(COUNTIF($D$6:$J$6,"Walkover lost")+0+($J$4="Twice")*(0+COUNTIF($C$7:$C$13,"Walkover won"))))</f>
      </c>
      <c r="S6">
        <f>IF($L6="","",3*(COUNTIF($D$6:$J$6,"3-*")+0+($J$4="Twice")*(0+COUNTIF($C$7:$C$13,"?-3")))+1*(COUNTIF($D$6:$J$6,"1-3")+0+($J$4="Twice")*(0+COUNTIF($C$7:$C$13,"3-1")))+2*(COUNTIF($D$6:$J$6,"2-3")+0+($J$4="Twice")*(0+COUNTIF($C$7:$C$13,"3-2")))+3*$Q6)</f>
      </c>
      <c r="T6">
        <f>IF($L6="","",1*(COUNTIF($D$6:$J$6,"3-1")+0+($J$4="Twice")*(0+COUNTIF($C$7:$C$13,"1-3")))+2*(COUNTIF($D$6:$J$6,"3-2")+0+($J$4="Twice")*(0+COUNTIF($C$7:$C$13,"2-3")))+3*(COUNTIF($D$6:$J$6,"?-3")+0+($J$4="Twice")*(0+COUNTIF($C$7:$C$13,"3-*")))+3*$R6)</f>
      </c>
      <c r="U6">
        <f>IF($L6="","",$N6*Settings!$C$5+$O6*Settings!$C$6+$P6*Settings!$C$7+$R6*Settings!$C$8)</f>
      </c>
      <c r="V6">
        <f>IF($L6="","",IF(AND($L$7&lt;&gt;"",$U$7=$U6),OR(LEFT(D6,1)="3",D6="Walkover won")*1+($J$4="Twice")*OR(RIGHT(C7,1)="3",C7="Walkover lost"),0)+IF(AND($L$8&lt;&gt;"",$U$8=$U6),OR(LEFT(E6,1)="3",E6="Walkover won")*1+($J$4="Twice")*OR(RIGHT(C8,1)="3",C8="Walkover lost"),0)+IF(AND($L$9&lt;&gt;"",$U$9=$U6),OR(LEFT(F6,1)="3",F6="Walkover won")*1+($J$4="Twice")*OR(RIGHT(C9,1)="3",C9="Walkover lost"),0)+IF(AND($L$10&lt;&gt;"",$U$10=$U6),OR(LEFT(G6,1)="3",G6="Walkover won")*1+($J$4="Twice")*OR(RIGHT(C10,1)="3",C10="Walkover lost"),0)+IF(AND($L$11&lt;&gt;"",$U$11=$U6),OR(LEFT(H6,1)="3",H6="Walkover won")*1+($J$4="Twice")*OR(RIGHT(C11,1)="3",C11="Walkover lost"),0)+IF(AND($L$12&lt;&gt;"",$U$12=$U6),OR(LEFT(I6,1)="3",I6="Walkover won")*1+($J$4="Twice")*OR(RIGHT(C12,1)="3",C12="Walkover lost"),0)+IF(AND($L$13&lt;&gt;"",$U$13=$U6),OR(LEFT(J6,1)="3",J6="Walkover won")*1+($J$4="Twice")*OR(RIGHT(C13,1)="3",C13="Walkover lost"),0))</f>
      </c>
      <c r="W6">
        <f>IF($L6="","",$U6*10000+$V6*1000+($S6-$T6+50)*10+8)</f>
      </c>
      <c r="X6">
        <f>IF($L6="","",1+COUNTIF($W$6:$W$13,"&gt;"&amp;$W6))</f>
      </c>
      <c r="Y6">
        <f>IF($L6="","",(COUNTIF($L$6:$L$13,"?*")-1)*(1+($J$4="Twice"))-$M6)</f>
      </c>
      <c r="Z6">
        <f>IF($L6="","",$O6+$P6+$R6)</f>
      </c>
      <c r="AA6">
        <f>IF(($J$4="Twice"),"3-0","")</f>
      </c>
    </row>
    <row r="7" ht="22" customHeight="1">
      <c r="A7" s="9">
        <v>2</v>
      </c>
      <c r="B7" s="10"/>
      <c r="C7" s="13">
        <f>IF(($J$4="Twice"),"",IF(D6="3-0","0-3",IF(D6="3-1","1-3",IF(D6="3-2","2-3",IF(D6="2-3","3-2",IF(D6="1-3","3-1",IF(D6="0-3","3-0",IF(D6="Walkover won","Walkover lost",IF(D6="Walkover lost","Walkover won","")))))))))</f>
      </c>
      <c r="D7" s="14"/>
      <c r="E7" s="12"/>
      <c r="F7" s="12"/>
      <c r="G7" s="12"/>
      <c r="H7" s="12"/>
      <c r="I7" s="12"/>
      <c r="J7" s="12"/>
      <c r="L7">
        <f>IF($B7="","",$B7)</f>
      </c>
      <c r="M7">
        <f>IF($L7="","",(COUNTIF($E$7:$J$7,"?*")+COUNTIF($D$6:$D$6,"?*")+($J$4="Twice")*(COUNTIF($C$7:$C$7,"?*")+COUNTIF($D$8:$D$13,"?*"))))</f>
      </c>
      <c r="N7">
        <f>IF($L7="","",(COUNTIF($E$7:$J$7,"3-*")+COUNTIF($D$6:$D$6,"?-3")+($J$4="Twice")*(COUNTIF($C$7:$C$7,"3-*")+COUNTIF($D$8:$D$13,"?-3")))+(COUNTIF($E$7:$J$7,"Walkover won")+COUNTIF($D$6:$D$6,"Walkover lost")+($J$4="Twice")*(COUNTIF($C$7:$C$7,"Walkover won")+COUNTIF($D$8:$D$13,"Walkover lost"))))</f>
      </c>
      <c r="O7">
        <f>IF($L7="","",(COUNTIF($E$7:$J$7,"1-3")+COUNTIF($D$6:$D$6,"3-1")+($J$4="Twice")*(COUNTIF($C$7:$C$7,"1-3")+COUNTIF($D$8:$D$13,"3-1")))+(COUNTIF($E$7:$J$7,"2-3")+COUNTIF($D$6:$D$6,"3-2")+($J$4="Twice")*(COUNTIF($C$7:$C$7,"2-3")+COUNTIF($D$8:$D$13,"3-2"))))</f>
      </c>
      <c r="P7">
        <f>IF($L7="","",(COUNTIF($E$7:$J$7,"0-3")+COUNTIF($D$6:$D$6,"3-0")+($J$4="Twice")*(COUNTIF($C$7:$C$7,"0-3")+COUNTIF($D$8:$D$13,"3-0"))))</f>
      </c>
      <c r="Q7">
        <f>IF($L7="","",(COUNTIF($E$7:$J$7,"Walkover won")+COUNTIF($D$6:$D$6,"Walkover lost")+($J$4="Twice")*(COUNTIF($C$7:$C$7,"Walkover won")+COUNTIF($D$8:$D$13,"Walkover lost"))))</f>
      </c>
      <c r="R7">
        <f>IF($L7="","",(COUNTIF($E$7:$J$7,"Walkover lost")+COUNTIF($D$6:$D$6,"Walkover won")+($J$4="Twice")*(COUNTIF($C$7:$C$7,"Walkover lost")+COUNTIF($D$8:$D$13,"Walkover won"))))</f>
      </c>
      <c r="S7">
        <f>IF($L7="","",3*(COUNTIF($E$7:$J$7,"3-*")+COUNTIF($D$6:$D$6,"?-3")+($J$4="Twice")*(COUNTIF($C$7:$C$7,"3-*")+COUNTIF($D$8:$D$13,"?-3")))+1*(COUNTIF($E$7:$J$7,"1-3")+COUNTIF($D$6:$D$6,"3-1")+($J$4="Twice")*(COUNTIF($C$7:$C$7,"1-3")+COUNTIF($D$8:$D$13,"3-1")))+2*(COUNTIF($E$7:$J$7,"2-3")+COUNTIF($D$6:$D$6,"3-2")+($J$4="Twice")*(COUNTIF($C$7:$C$7,"2-3")+COUNTIF($D$8:$D$13,"3-2")))+3*$Q7)</f>
      </c>
      <c r="T7">
        <f>IF($L7="","",1*(COUNTIF($E$7:$J$7,"3-1")+COUNTIF($D$6:$D$6,"1-3")+($J$4="Twice")*(COUNTIF($C$7:$C$7,"3-1")+COUNTIF($D$8:$D$13,"1-3")))+2*(COUNTIF($E$7:$J$7,"3-2")+COUNTIF($D$6:$D$6,"2-3")+($J$4="Twice")*(COUNTIF($C$7:$C$7,"3-2")+COUNTIF($D$8:$D$13,"2-3")))+3*(COUNTIF($E$7:$J$7,"?-3")+COUNTIF($D$6:$D$6,"3-*")+($J$4="Twice")*(COUNTIF($C$7:$C$7,"?-3")+COUNTIF($D$8:$D$13,"3-*")))+3*$R7)</f>
      </c>
      <c r="U7">
        <f>IF($L7="","",$N7*Settings!$C$5+$O7*Settings!$C$6+$P7*Settings!$C$7+$R7*Settings!$C$8)</f>
      </c>
      <c r="V7">
        <f>IF($L7="","",IF(AND($L$6&lt;&gt;"",$U$6=$U7),OR(RIGHT(D6,1)="3",D6="Walkover lost")*1+($J$4="Twice")*OR(LEFT(C7,1)="3",C7="Walkover won"),0)+IF(AND($L$8&lt;&gt;"",$U$8=$U7),OR(LEFT(E7,1)="3",E7="Walkover won")*1+($J$4="Twice")*OR(RIGHT(D8,1)="3",D8="Walkover lost"),0)+IF(AND($L$9&lt;&gt;"",$U$9=$U7),OR(LEFT(F7,1)="3",F7="Walkover won")*1+($J$4="Twice")*OR(RIGHT(D9,1)="3",D9="Walkover lost"),0)+IF(AND($L$10&lt;&gt;"",$U$10=$U7),OR(LEFT(G7,1)="3",G7="Walkover won")*1+($J$4="Twice")*OR(RIGHT(D10,1)="3",D10="Walkover lost"),0)+IF(AND($L$11&lt;&gt;"",$U$11=$U7),OR(LEFT(H7,1)="3",H7="Walkover won")*1+($J$4="Twice")*OR(RIGHT(D11,1)="3",D11="Walkover lost"),0)+IF(AND($L$12&lt;&gt;"",$U$12=$U7),OR(LEFT(I7,1)="3",I7="Walkover won")*1+($J$4="Twice")*OR(RIGHT(D12,1)="3",D12="Walkover lost"),0)+IF(AND($L$13&lt;&gt;"",$U$13=$U7),OR(LEFT(J7,1)="3",J7="Walkover won")*1+($J$4="Twice")*OR(RIGHT(D13,1)="3",D13="Walkover lost"),0))</f>
      </c>
      <c r="W7">
        <f>IF($L7="","",$U7*10000+$V7*1000+($S7-$T7+50)*10+7)</f>
      </c>
      <c r="X7">
        <f>IF($L7="","",1+COUNTIF($W$6:$W$13,"&gt;"&amp;$W7))</f>
      </c>
      <c r="Y7">
        <f>IF($L7="","",(COUNTIF($L$6:$L$13,"?*")-1)*(1+($J$4="Twice"))-$M7)</f>
      </c>
      <c r="Z7">
        <f>IF($L7="","",$O7+$P7+$R7)</f>
      </c>
      <c r="AA7">
        <f>IF(($J$4="Twice"),"3-1","")</f>
      </c>
    </row>
    <row r="8" ht="22" customHeight="1">
      <c r="A8" s="9">
        <v>3</v>
      </c>
      <c r="B8" s="10"/>
      <c r="C8" s="13">
        <f>IF(($J$4="Twice"),"",IF(E6="3-0","0-3",IF(E6="3-1","1-3",IF(E6="3-2","2-3",IF(E6="2-3","3-2",IF(E6="1-3","3-1",IF(E6="0-3","3-0",IF(E6="Walkover won","Walkover lost",IF(E6="Walkover lost","Walkover won","")))))))))</f>
      </c>
      <c r="D8" s="13">
        <f>IF(($J$4="Twice"),"",IF(E7="3-0","0-3",IF(E7="3-1","1-3",IF(E7="3-2","2-3",IF(E7="2-3","3-2",IF(E7="1-3","3-1",IF(E7="0-3","3-0",IF(E7="Walkover won","Walkover lost",IF(E7="Walkover lost","Walkover won","")))))))))</f>
      </c>
      <c r="E8" s="14"/>
      <c r="F8" s="12"/>
      <c r="G8" s="12"/>
      <c r="H8" s="12"/>
      <c r="I8" s="12"/>
      <c r="J8" s="12"/>
      <c r="L8">
        <f>IF($B8="","",$B8)</f>
      </c>
      <c r="M8">
        <f>IF($L8="","",(COUNTIF($F$8:$J$8,"?*")+COUNTIF($E$6:$E$7,"?*")+($J$4="Twice")*(COUNTIF($C$8:$D$8,"?*")+COUNTIF($E$9:$E$13,"?*"))))</f>
      </c>
      <c r="N8">
        <f>IF($L8="","",(COUNTIF($F$8:$J$8,"3-*")+COUNTIF($E$6:$E$7,"?-3")+($J$4="Twice")*(COUNTIF($C$8:$D$8,"3-*")+COUNTIF($E$9:$E$13,"?-3")))+(COUNTIF($F$8:$J$8,"Walkover won")+COUNTIF($E$6:$E$7,"Walkover lost")+($J$4="Twice")*(COUNTIF($C$8:$D$8,"Walkover won")+COUNTIF($E$9:$E$13,"Walkover lost"))))</f>
      </c>
      <c r="O8">
        <f>IF($L8="","",(COUNTIF($F$8:$J$8,"1-3")+COUNTIF($E$6:$E$7,"3-1")+($J$4="Twice")*(COUNTIF($C$8:$D$8,"1-3")+COUNTIF($E$9:$E$13,"3-1")))+(COUNTIF($F$8:$J$8,"2-3")+COUNTIF($E$6:$E$7,"3-2")+($J$4="Twice")*(COUNTIF($C$8:$D$8,"2-3")+COUNTIF($E$9:$E$13,"3-2"))))</f>
      </c>
      <c r="P8">
        <f>IF($L8="","",(COUNTIF($F$8:$J$8,"0-3")+COUNTIF($E$6:$E$7,"3-0")+($J$4="Twice")*(COUNTIF($C$8:$D$8,"0-3")+COUNTIF($E$9:$E$13,"3-0"))))</f>
      </c>
      <c r="Q8">
        <f>IF($L8="","",(COUNTIF($F$8:$J$8,"Walkover won")+COUNTIF($E$6:$E$7,"Walkover lost")+($J$4="Twice")*(COUNTIF($C$8:$D$8,"Walkover won")+COUNTIF($E$9:$E$13,"Walkover lost"))))</f>
      </c>
      <c r="R8">
        <f>IF($L8="","",(COUNTIF($F$8:$J$8,"Walkover lost")+COUNTIF($E$6:$E$7,"Walkover won")+($J$4="Twice")*(COUNTIF($C$8:$D$8,"Walkover lost")+COUNTIF($E$9:$E$13,"Walkover won"))))</f>
      </c>
      <c r="S8">
        <f>IF($L8="","",3*(COUNTIF($F$8:$J$8,"3-*")+COUNTIF($E$6:$E$7,"?-3")+($J$4="Twice")*(COUNTIF($C$8:$D$8,"3-*")+COUNTIF($E$9:$E$13,"?-3")))+1*(COUNTIF($F$8:$J$8,"1-3")+COUNTIF($E$6:$E$7,"3-1")+($J$4="Twice")*(COUNTIF($C$8:$D$8,"1-3")+COUNTIF($E$9:$E$13,"3-1")))+2*(COUNTIF($F$8:$J$8,"2-3")+COUNTIF($E$6:$E$7,"3-2")+($J$4="Twice")*(COUNTIF($C$8:$D$8,"2-3")+COUNTIF($E$9:$E$13,"3-2")))+3*$Q8)</f>
      </c>
      <c r="T8">
        <f>IF($L8="","",1*(COUNTIF($F$8:$J$8,"3-1")+COUNTIF($E$6:$E$7,"1-3")+($J$4="Twice")*(COUNTIF($C$8:$D$8,"3-1")+COUNTIF($E$9:$E$13,"1-3")))+2*(COUNTIF($F$8:$J$8,"3-2")+COUNTIF($E$6:$E$7,"2-3")+($J$4="Twice")*(COUNTIF($C$8:$D$8,"3-2")+COUNTIF($E$9:$E$13,"2-3")))+3*(COUNTIF($F$8:$J$8,"?-3")+COUNTIF($E$6:$E$7,"3-*")+($J$4="Twice")*(COUNTIF($C$8:$D$8,"?-3")+COUNTIF($E$9:$E$13,"3-*")))+3*$R8)</f>
      </c>
      <c r="U8">
        <f>IF($L8="","",$N8*Settings!$C$5+$O8*Settings!$C$6+$P8*Settings!$C$7+$R8*Settings!$C$8)</f>
      </c>
      <c r="V8">
        <f>IF($L8="","",IF(AND($L$6&lt;&gt;"",$U$6=$U8),OR(RIGHT(E6,1)="3",E6="Walkover lost")*1+($J$4="Twice")*OR(LEFT(C8,1)="3",C8="Walkover won"),0)+IF(AND($L$7&lt;&gt;"",$U$7=$U8),OR(RIGHT(E7,1)="3",E7="Walkover lost")*1+($J$4="Twice")*OR(LEFT(D8,1)="3",D8="Walkover won"),0)+IF(AND($L$9&lt;&gt;"",$U$9=$U8),OR(LEFT(F8,1)="3",F8="Walkover won")*1+($J$4="Twice")*OR(RIGHT(E9,1)="3",E9="Walkover lost"),0)+IF(AND($L$10&lt;&gt;"",$U$10=$U8),OR(LEFT(G8,1)="3",G8="Walkover won")*1+($J$4="Twice")*OR(RIGHT(E10,1)="3",E10="Walkover lost"),0)+IF(AND($L$11&lt;&gt;"",$U$11=$U8),OR(LEFT(H8,1)="3",H8="Walkover won")*1+($J$4="Twice")*OR(RIGHT(E11,1)="3",E11="Walkover lost"),0)+IF(AND($L$12&lt;&gt;"",$U$12=$U8),OR(LEFT(I8,1)="3",I8="Walkover won")*1+($J$4="Twice")*OR(RIGHT(E12,1)="3",E12="Walkover lost"),0)+IF(AND($L$13&lt;&gt;"",$U$13=$U8),OR(LEFT(J8,1)="3",J8="Walkover won")*1+($J$4="Twice")*OR(RIGHT(E13,1)="3",E13="Walkover lost"),0))</f>
      </c>
      <c r="W8">
        <f>IF($L8="","",$U8*10000+$V8*1000+($S8-$T8+50)*10+6)</f>
      </c>
      <c r="X8">
        <f>IF($L8="","",1+COUNTIF($W$6:$W$13,"&gt;"&amp;$W8))</f>
      </c>
      <c r="Y8">
        <f>IF($L8="","",(COUNTIF($L$6:$L$13,"?*")-1)*(1+($J$4="Twice"))-$M8)</f>
      </c>
      <c r="Z8">
        <f>IF($L8="","",$O8+$P8+$R8)</f>
      </c>
      <c r="AA8">
        <f>IF(($J$4="Twice"),"3-2","")</f>
      </c>
    </row>
    <row r="9" ht="22" customHeight="1">
      <c r="A9" s="9">
        <v>4</v>
      </c>
      <c r="B9" s="10"/>
      <c r="C9" s="13">
        <f>IF(($J$4="Twice"),"",IF(F6="3-0","0-3",IF(F6="3-1","1-3",IF(F6="3-2","2-3",IF(F6="2-3","3-2",IF(F6="1-3","3-1",IF(F6="0-3","3-0",IF(F6="Walkover won","Walkover lost",IF(F6="Walkover lost","Walkover won","")))))))))</f>
      </c>
      <c r="D9" s="13">
        <f>IF(($J$4="Twice"),"",IF(F7="3-0","0-3",IF(F7="3-1","1-3",IF(F7="3-2","2-3",IF(F7="2-3","3-2",IF(F7="1-3","3-1",IF(F7="0-3","3-0",IF(F7="Walkover won","Walkover lost",IF(F7="Walkover lost","Walkover won","")))))))))</f>
      </c>
      <c r="E9" s="13">
        <f>IF(($J$4="Twice"),"",IF(F8="3-0","0-3",IF(F8="3-1","1-3",IF(F8="3-2","2-3",IF(F8="2-3","3-2",IF(F8="1-3","3-1",IF(F8="0-3","3-0",IF(F8="Walkover won","Walkover lost",IF(F8="Walkover lost","Walkover won","")))))))))</f>
      </c>
      <c r="F9" s="14"/>
      <c r="G9" s="12"/>
      <c r="H9" s="12"/>
      <c r="I9" s="12"/>
      <c r="J9" s="12"/>
      <c r="L9">
        <f>IF($B9="","",$B9)</f>
      </c>
      <c r="M9">
        <f>IF($L9="","",(COUNTIF($G$9:$J$9,"?*")+COUNTIF($F$6:$F$8,"?*")+($J$4="Twice")*(COUNTIF($C$9:$E$9,"?*")+COUNTIF($F$10:$F$13,"?*"))))</f>
      </c>
      <c r="N9">
        <f>IF($L9="","",(COUNTIF($G$9:$J$9,"3-*")+COUNTIF($F$6:$F$8,"?-3")+($J$4="Twice")*(COUNTIF($C$9:$E$9,"3-*")+COUNTIF($F$10:$F$13,"?-3")))+(COUNTIF($G$9:$J$9,"Walkover won")+COUNTIF($F$6:$F$8,"Walkover lost")+($J$4="Twice")*(COUNTIF($C$9:$E$9,"Walkover won")+COUNTIF($F$10:$F$13,"Walkover lost"))))</f>
      </c>
      <c r="O9">
        <f>IF($L9="","",(COUNTIF($G$9:$J$9,"1-3")+COUNTIF($F$6:$F$8,"3-1")+($J$4="Twice")*(COUNTIF($C$9:$E$9,"1-3")+COUNTIF($F$10:$F$13,"3-1")))+(COUNTIF($G$9:$J$9,"2-3")+COUNTIF($F$6:$F$8,"3-2")+($J$4="Twice")*(COUNTIF($C$9:$E$9,"2-3")+COUNTIF($F$10:$F$13,"3-2"))))</f>
      </c>
      <c r="P9">
        <f>IF($L9="","",(COUNTIF($G$9:$J$9,"0-3")+COUNTIF($F$6:$F$8,"3-0")+($J$4="Twice")*(COUNTIF($C$9:$E$9,"0-3")+COUNTIF($F$10:$F$13,"3-0"))))</f>
      </c>
      <c r="Q9">
        <f>IF($L9="","",(COUNTIF($G$9:$J$9,"Walkover won")+COUNTIF($F$6:$F$8,"Walkover lost")+($J$4="Twice")*(COUNTIF($C$9:$E$9,"Walkover won")+COUNTIF($F$10:$F$13,"Walkover lost"))))</f>
      </c>
      <c r="R9">
        <f>IF($L9="","",(COUNTIF($G$9:$J$9,"Walkover lost")+COUNTIF($F$6:$F$8,"Walkover won")+($J$4="Twice")*(COUNTIF($C$9:$E$9,"Walkover lost")+COUNTIF($F$10:$F$13,"Walkover won"))))</f>
      </c>
      <c r="S9">
        <f>IF($L9="","",3*(COUNTIF($G$9:$J$9,"3-*")+COUNTIF($F$6:$F$8,"?-3")+($J$4="Twice")*(COUNTIF($C$9:$E$9,"3-*")+COUNTIF($F$10:$F$13,"?-3")))+1*(COUNTIF($G$9:$J$9,"1-3")+COUNTIF($F$6:$F$8,"3-1")+($J$4="Twice")*(COUNTIF($C$9:$E$9,"1-3")+COUNTIF($F$10:$F$13,"3-1")))+2*(COUNTIF($G$9:$J$9,"2-3")+COUNTIF($F$6:$F$8,"3-2")+($J$4="Twice")*(COUNTIF($C$9:$E$9,"2-3")+COUNTIF($F$10:$F$13,"3-2")))+3*$Q9)</f>
      </c>
      <c r="T9">
        <f>IF($L9="","",1*(COUNTIF($G$9:$J$9,"3-1")+COUNTIF($F$6:$F$8,"1-3")+($J$4="Twice")*(COUNTIF($C$9:$E$9,"3-1")+COUNTIF($F$10:$F$13,"1-3")))+2*(COUNTIF($G$9:$J$9,"3-2")+COUNTIF($F$6:$F$8,"2-3")+($J$4="Twice")*(COUNTIF($C$9:$E$9,"3-2")+COUNTIF($F$10:$F$13,"2-3")))+3*(COUNTIF($G$9:$J$9,"?-3")+COUNTIF($F$6:$F$8,"3-*")+($J$4="Twice")*(COUNTIF($C$9:$E$9,"?-3")+COUNTIF($F$10:$F$13,"3-*")))+3*$R9)</f>
      </c>
      <c r="U9">
        <f>IF($L9="","",$N9*Settings!$C$5+$O9*Settings!$C$6+$P9*Settings!$C$7+$R9*Settings!$C$8)</f>
      </c>
      <c r="V9">
        <f>IF($L9="","",IF(AND($L$6&lt;&gt;"",$U$6=$U9),OR(RIGHT(F6,1)="3",F6="Walkover lost")*1+($J$4="Twice")*OR(LEFT(C9,1)="3",C9="Walkover won"),0)+IF(AND($L$7&lt;&gt;"",$U$7=$U9),OR(RIGHT(F7,1)="3",F7="Walkover lost")*1+($J$4="Twice")*OR(LEFT(D9,1)="3",D9="Walkover won"),0)+IF(AND($L$8&lt;&gt;"",$U$8=$U9),OR(RIGHT(F8,1)="3",F8="Walkover lost")*1+($J$4="Twice")*OR(LEFT(E9,1)="3",E9="Walkover won"),0)+IF(AND($L$10&lt;&gt;"",$U$10=$U9),OR(LEFT(G9,1)="3",G9="Walkover won")*1+($J$4="Twice")*OR(RIGHT(F10,1)="3",F10="Walkover lost"),0)+IF(AND($L$11&lt;&gt;"",$U$11=$U9),OR(LEFT(H9,1)="3",H9="Walkover won")*1+($J$4="Twice")*OR(RIGHT(F11,1)="3",F11="Walkover lost"),0)+IF(AND($L$12&lt;&gt;"",$U$12=$U9),OR(LEFT(I9,1)="3",I9="Walkover won")*1+($J$4="Twice")*OR(RIGHT(F12,1)="3",F12="Walkover lost"),0)+IF(AND($L$13&lt;&gt;"",$U$13=$U9),OR(LEFT(J9,1)="3",J9="Walkover won")*1+($J$4="Twice")*OR(RIGHT(F13,1)="3",F13="Walkover lost"),0))</f>
      </c>
      <c r="W9">
        <f>IF($L9="","",$U9*10000+$V9*1000+($S9-$T9+50)*10+5)</f>
      </c>
      <c r="X9">
        <f>IF($L9="","",1+COUNTIF($W$6:$W$13,"&gt;"&amp;$W9))</f>
      </c>
      <c r="Y9">
        <f>IF($L9="","",(COUNTIF($L$6:$L$13,"?*")-1)*(1+($J$4="Twice"))-$M9)</f>
      </c>
      <c r="Z9">
        <f>IF($L9="","",$O9+$P9+$R9)</f>
      </c>
      <c r="AA9">
        <f>IF(($J$4="Twice"),"2-3","")</f>
      </c>
    </row>
    <row r="10" ht="22" customHeight="1">
      <c r="A10" s="9">
        <v>5</v>
      </c>
      <c r="B10" s="10"/>
      <c r="C10" s="13">
        <f>IF(($J$4="Twice"),"",IF(G6="3-0","0-3",IF(G6="3-1","1-3",IF(G6="3-2","2-3",IF(G6="2-3","3-2",IF(G6="1-3","3-1",IF(G6="0-3","3-0",IF(G6="Walkover won","Walkover lost",IF(G6="Walkover lost","Walkover won","")))))))))</f>
      </c>
      <c r="D10" s="13">
        <f>IF(($J$4="Twice"),"",IF(G7="3-0","0-3",IF(G7="3-1","1-3",IF(G7="3-2","2-3",IF(G7="2-3","3-2",IF(G7="1-3","3-1",IF(G7="0-3","3-0",IF(G7="Walkover won","Walkover lost",IF(G7="Walkover lost","Walkover won","")))))))))</f>
      </c>
      <c r="E10" s="13">
        <f>IF(($J$4="Twice"),"",IF(G8="3-0","0-3",IF(G8="3-1","1-3",IF(G8="3-2","2-3",IF(G8="2-3","3-2",IF(G8="1-3","3-1",IF(G8="0-3","3-0",IF(G8="Walkover won","Walkover lost",IF(G8="Walkover lost","Walkover won","")))))))))</f>
      </c>
      <c r="F10" s="13">
        <f>IF(($J$4="Twice"),"",IF(G9="3-0","0-3",IF(G9="3-1","1-3",IF(G9="3-2","2-3",IF(G9="2-3","3-2",IF(G9="1-3","3-1",IF(G9="0-3","3-0",IF(G9="Walkover won","Walkover lost",IF(G9="Walkover lost","Walkover won","")))))))))</f>
      </c>
      <c r="G10" s="14"/>
      <c r="H10" s="12"/>
      <c r="I10" s="12"/>
      <c r="J10" s="12"/>
      <c r="L10">
        <f>IF($B10="","",$B10)</f>
      </c>
      <c r="M10">
        <f>IF($L10="","",(COUNTIF($H$10:$J$10,"?*")+COUNTIF($G$6:$G$9,"?*")+($J$4="Twice")*(COUNTIF($C$10:$F$10,"?*")+COUNTIF($G$11:$G$13,"?*"))))</f>
      </c>
      <c r="N10">
        <f>IF($L10="","",(COUNTIF($H$10:$J$10,"3-*")+COUNTIF($G$6:$G$9,"?-3")+($J$4="Twice")*(COUNTIF($C$10:$F$10,"3-*")+COUNTIF($G$11:$G$13,"?-3")))+(COUNTIF($H$10:$J$10,"Walkover won")+COUNTIF($G$6:$G$9,"Walkover lost")+($J$4="Twice")*(COUNTIF($C$10:$F$10,"Walkover won")+COUNTIF($G$11:$G$13,"Walkover lost"))))</f>
      </c>
      <c r="O10">
        <f>IF($L10="","",(COUNTIF($H$10:$J$10,"1-3")+COUNTIF($G$6:$G$9,"3-1")+($J$4="Twice")*(COUNTIF($C$10:$F$10,"1-3")+COUNTIF($G$11:$G$13,"3-1")))+(COUNTIF($H$10:$J$10,"2-3")+COUNTIF($G$6:$G$9,"3-2")+($J$4="Twice")*(COUNTIF($C$10:$F$10,"2-3")+COUNTIF($G$11:$G$13,"3-2"))))</f>
      </c>
      <c r="P10">
        <f>IF($L10="","",(COUNTIF($H$10:$J$10,"0-3")+COUNTIF($G$6:$G$9,"3-0")+($J$4="Twice")*(COUNTIF($C$10:$F$10,"0-3")+COUNTIF($G$11:$G$13,"3-0"))))</f>
      </c>
      <c r="Q10">
        <f>IF($L10="","",(COUNTIF($H$10:$J$10,"Walkover won")+COUNTIF($G$6:$G$9,"Walkover lost")+($J$4="Twice")*(COUNTIF($C$10:$F$10,"Walkover won")+COUNTIF($G$11:$G$13,"Walkover lost"))))</f>
      </c>
      <c r="R10">
        <f>IF($L10="","",(COUNTIF($H$10:$J$10,"Walkover lost")+COUNTIF($G$6:$G$9,"Walkover won")+($J$4="Twice")*(COUNTIF($C$10:$F$10,"Walkover lost")+COUNTIF($G$11:$G$13,"Walkover won"))))</f>
      </c>
      <c r="S10">
        <f>IF($L10="","",3*(COUNTIF($H$10:$J$10,"3-*")+COUNTIF($G$6:$G$9,"?-3")+($J$4="Twice")*(COUNTIF($C$10:$F$10,"3-*")+COUNTIF($G$11:$G$13,"?-3")))+1*(COUNTIF($H$10:$J$10,"1-3")+COUNTIF($G$6:$G$9,"3-1")+($J$4="Twice")*(COUNTIF($C$10:$F$10,"1-3")+COUNTIF($G$11:$G$13,"3-1")))+2*(COUNTIF($H$10:$J$10,"2-3")+COUNTIF($G$6:$G$9,"3-2")+($J$4="Twice")*(COUNTIF($C$10:$F$10,"2-3")+COUNTIF($G$11:$G$13,"3-2")))+3*$Q10)</f>
      </c>
      <c r="T10">
        <f>IF($L10="","",1*(COUNTIF($H$10:$J$10,"3-1")+COUNTIF($G$6:$G$9,"1-3")+($J$4="Twice")*(COUNTIF($C$10:$F$10,"3-1")+COUNTIF($G$11:$G$13,"1-3")))+2*(COUNTIF($H$10:$J$10,"3-2")+COUNTIF($G$6:$G$9,"2-3")+($J$4="Twice")*(COUNTIF($C$10:$F$10,"3-2")+COUNTIF($G$11:$G$13,"2-3")))+3*(COUNTIF($H$10:$J$10,"?-3")+COUNTIF($G$6:$G$9,"3-*")+($J$4="Twice")*(COUNTIF($C$10:$F$10,"?-3")+COUNTIF($G$11:$G$13,"3-*")))+3*$R10)</f>
      </c>
      <c r="U10">
        <f>IF($L10="","",$N10*Settings!$C$5+$O10*Settings!$C$6+$P10*Settings!$C$7+$R10*Settings!$C$8)</f>
      </c>
      <c r="V10">
        <f>IF($L10="","",IF(AND($L$6&lt;&gt;"",$U$6=$U10),OR(RIGHT(G6,1)="3",G6="Walkover lost")*1+($J$4="Twice")*OR(LEFT(C10,1)="3",C10="Walkover won"),0)+IF(AND($L$7&lt;&gt;"",$U$7=$U10),OR(RIGHT(G7,1)="3",G7="Walkover lost")*1+($J$4="Twice")*OR(LEFT(D10,1)="3",D10="Walkover won"),0)+IF(AND($L$8&lt;&gt;"",$U$8=$U10),OR(RIGHT(G8,1)="3",G8="Walkover lost")*1+($J$4="Twice")*OR(LEFT(E10,1)="3",E10="Walkover won"),0)+IF(AND($L$9&lt;&gt;"",$U$9=$U10),OR(RIGHT(G9,1)="3",G9="Walkover lost")*1+($J$4="Twice")*OR(LEFT(F10,1)="3",F10="Walkover won"),0)+IF(AND($L$11&lt;&gt;"",$U$11=$U10),OR(LEFT(H10,1)="3",H10="Walkover won")*1+($J$4="Twice")*OR(RIGHT(G11,1)="3",G11="Walkover lost"),0)+IF(AND($L$12&lt;&gt;"",$U$12=$U10),OR(LEFT(I10,1)="3",I10="Walkover won")*1+($J$4="Twice")*OR(RIGHT(G12,1)="3",G12="Walkover lost"),0)+IF(AND($L$13&lt;&gt;"",$U$13=$U10),OR(LEFT(J10,1)="3",J10="Walkover won")*1+($J$4="Twice")*OR(RIGHT(G13,1)="3",G13="Walkover lost"),0))</f>
      </c>
      <c r="W10">
        <f>IF($L10="","",$U10*10000+$V10*1000+($S10-$T10+50)*10+4)</f>
      </c>
      <c r="X10">
        <f>IF($L10="","",1+COUNTIF($W$6:$W$13,"&gt;"&amp;$W10))</f>
      </c>
      <c r="Y10">
        <f>IF($L10="","",(COUNTIF($L$6:$L$13,"?*")-1)*(1+($J$4="Twice"))-$M10)</f>
      </c>
      <c r="Z10">
        <f>IF($L10="","",$O10+$P10+$R10)</f>
      </c>
      <c r="AA10">
        <f>IF(($J$4="Twice"),"1-3","")</f>
      </c>
    </row>
    <row r="11" ht="22" customHeight="1">
      <c r="A11" s="9">
        <v>6</v>
      </c>
      <c r="B11" s="10"/>
      <c r="C11" s="13">
        <f>IF(($J$4="Twice"),"",IF(H6="3-0","0-3",IF(H6="3-1","1-3",IF(H6="3-2","2-3",IF(H6="2-3","3-2",IF(H6="1-3","3-1",IF(H6="0-3","3-0",IF(H6="Walkover won","Walkover lost",IF(H6="Walkover lost","Walkover won","")))))))))</f>
      </c>
      <c r="D11" s="13">
        <f>IF(($J$4="Twice"),"",IF(H7="3-0","0-3",IF(H7="3-1","1-3",IF(H7="3-2","2-3",IF(H7="2-3","3-2",IF(H7="1-3","3-1",IF(H7="0-3","3-0",IF(H7="Walkover won","Walkover lost",IF(H7="Walkover lost","Walkover won","")))))))))</f>
      </c>
      <c r="E11" s="13">
        <f>IF(($J$4="Twice"),"",IF(H8="3-0","0-3",IF(H8="3-1","1-3",IF(H8="3-2","2-3",IF(H8="2-3","3-2",IF(H8="1-3","3-1",IF(H8="0-3","3-0",IF(H8="Walkover won","Walkover lost",IF(H8="Walkover lost","Walkover won","")))))))))</f>
      </c>
      <c r="F11" s="13">
        <f>IF(($J$4="Twice"),"",IF(H9="3-0","0-3",IF(H9="3-1","1-3",IF(H9="3-2","2-3",IF(H9="2-3","3-2",IF(H9="1-3","3-1",IF(H9="0-3","3-0",IF(H9="Walkover won","Walkover lost",IF(H9="Walkover lost","Walkover won","")))))))))</f>
      </c>
      <c r="G11" s="13">
        <f>IF(($J$4="Twice"),"",IF(H10="3-0","0-3",IF(H10="3-1","1-3",IF(H10="3-2","2-3",IF(H10="2-3","3-2",IF(H10="1-3","3-1",IF(H10="0-3","3-0",IF(H10="Walkover won","Walkover lost",IF(H10="Walkover lost","Walkover won","")))))))))</f>
      </c>
      <c r="H11" s="14"/>
      <c r="I11" s="12"/>
      <c r="J11" s="12"/>
      <c r="L11">
        <f>IF($B11="","",$B11)</f>
      </c>
      <c r="M11">
        <f>IF($L11="","",(COUNTIF($I$11:$J$11,"?*")+COUNTIF($H$6:$H$10,"?*")+($J$4="Twice")*(COUNTIF($C$11:$G$11,"?*")+COUNTIF($H$12:$H$13,"?*"))))</f>
      </c>
      <c r="N11">
        <f>IF($L11="","",(COUNTIF($I$11:$J$11,"3-*")+COUNTIF($H$6:$H$10,"?-3")+($J$4="Twice")*(COUNTIF($C$11:$G$11,"3-*")+COUNTIF($H$12:$H$13,"?-3")))+(COUNTIF($I$11:$J$11,"Walkover won")+COUNTIF($H$6:$H$10,"Walkover lost")+($J$4="Twice")*(COUNTIF($C$11:$G$11,"Walkover won")+COUNTIF($H$12:$H$13,"Walkover lost"))))</f>
      </c>
      <c r="O11">
        <f>IF($L11="","",(COUNTIF($I$11:$J$11,"1-3")+COUNTIF($H$6:$H$10,"3-1")+($J$4="Twice")*(COUNTIF($C$11:$G$11,"1-3")+COUNTIF($H$12:$H$13,"3-1")))+(COUNTIF($I$11:$J$11,"2-3")+COUNTIF($H$6:$H$10,"3-2")+($J$4="Twice")*(COUNTIF($C$11:$G$11,"2-3")+COUNTIF($H$12:$H$13,"3-2"))))</f>
      </c>
      <c r="P11">
        <f>IF($L11="","",(COUNTIF($I$11:$J$11,"0-3")+COUNTIF($H$6:$H$10,"3-0")+($J$4="Twice")*(COUNTIF($C$11:$G$11,"0-3")+COUNTIF($H$12:$H$13,"3-0"))))</f>
      </c>
      <c r="Q11">
        <f>IF($L11="","",(COUNTIF($I$11:$J$11,"Walkover won")+COUNTIF($H$6:$H$10,"Walkover lost")+($J$4="Twice")*(COUNTIF($C$11:$G$11,"Walkover won")+COUNTIF($H$12:$H$13,"Walkover lost"))))</f>
      </c>
      <c r="R11">
        <f>IF($L11="","",(COUNTIF($I$11:$J$11,"Walkover lost")+COUNTIF($H$6:$H$10,"Walkover won")+($J$4="Twice")*(COUNTIF($C$11:$G$11,"Walkover lost")+COUNTIF($H$12:$H$13,"Walkover won"))))</f>
      </c>
      <c r="S11">
        <f>IF($L11="","",3*(COUNTIF($I$11:$J$11,"3-*")+COUNTIF($H$6:$H$10,"?-3")+($J$4="Twice")*(COUNTIF($C$11:$G$11,"3-*")+COUNTIF($H$12:$H$13,"?-3")))+1*(COUNTIF($I$11:$J$11,"1-3")+COUNTIF($H$6:$H$10,"3-1")+($J$4="Twice")*(COUNTIF($C$11:$G$11,"1-3")+COUNTIF($H$12:$H$13,"3-1")))+2*(COUNTIF($I$11:$J$11,"2-3")+COUNTIF($H$6:$H$10,"3-2")+($J$4="Twice")*(COUNTIF($C$11:$G$11,"2-3")+COUNTIF($H$12:$H$13,"3-2")))+3*$Q11)</f>
      </c>
      <c r="T11">
        <f>IF($L11="","",1*(COUNTIF($I$11:$J$11,"3-1")+COUNTIF($H$6:$H$10,"1-3")+($J$4="Twice")*(COUNTIF($C$11:$G$11,"3-1")+COUNTIF($H$12:$H$13,"1-3")))+2*(COUNTIF($I$11:$J$11,"3-2")+COUNTIF($H$6:$H$10,"2-3")+($J$4="Twice")*(COUNTIF($C$11:$G$11,"3-2")+COUNTIF($H$12:$H$13,"2-3")))+3*(COUNTIF($I$11:$J$11,"?-3")+COUNTIF($H$6:$H$10,"3-*")+($J$4="Twice")*(COUNTIF($C$11:$G$11,"?-3")+COUNTIF($H$12:$H$13,"3-*")))+3*$R11)</f>
      </c>
      <c r="U11">
        <f>IF($L11="","",$N11*Settings!$C$5+$O11*Settings!$C$6+$P11*Settings!$C$7+$R11*Settings!$C$8)</f>
      </c>
      <c r="V11">
        <f>IF($L11="","",IF(AND($L$6&lt;&gt;"",$U$6=$U11),OR(RIGHT(H6,1)="3",H6="Walkover lost")*1+($J$4="Twice")*OR(LEFT(C11,1)="3",C11="Walkover won"),0)+IF(AND($L$7&lt;&gt;"",$U$7=$U11),OR(RIGHT(H7,1)="3",H7="Walkover lost")*1+($J$4="Twice")*OR(LEFT(D11,1)="3",D11="Walkover won"),0)+IF(AND($L$8&lt;&gt;"",$U$8=$U11),OR(RIGHT(H8,1)="3",H8="Walkover lost")*1+($J$4="Twice")*OR(LEFT(E11,1)="3",E11="Walkover won"),0)+IF(AND($L$9&lt;&gt;"",$U$9=$U11),OR(RIGHT(H9,1)="3",H9="Walkover lost")*1+($J$4="Twice")*OR(LEFT(F11,1)="3",F11="Walkover won"),0)+IF(AND($L$10&lt;&gt;"",$U$10=$U11),OR(RIGHT(H10,1)="3",H10="Walkover lost")*1+($J$4="Twice")*OR(LEFT(G11,1)="3",G11="Walkover won"),0)+IF(AND($L$12&lt;&gt;"",$U$12=$U11),OR(LEFT(I11,1)="3",I11="Walkover won")*1+($J$4="Twice")*OR(RIGHT(H12,1)="3",H12="Walkover lost"),0)+IF(AND($L$13&lt;&gt;"",$U$13=$U11),OR(LEFT(J11,1)="3",J11="Walkover won")*1+($J$4="Twice")*OR(RIGHT(H13,1)="3",H13="Walkover lost"),0))</f>
      </c>
      <c r="W11">
        <f>IF($L11="","",$U11*10000+$V11*1000+($S11-$T11+50)*10+3)</f>
      </c>
      <c r="X11">
        <f>IF($L11="","",1+COUNTIF($W$6:$W$13,"&gt;"&amp;$W11))</f>
      </c>
      <c r="Y11">
        <f>IF($L11="","",(COUNTIF($L$6:$L$13,"?*")-1)*(1+($J$4="Twice"))-$M11)</f>
      </c>
      <c r="Z11">
        <f>IF($L11="","",$O11+$P11+$R11)</f>
      </c>
      <c r="AA11">
        <f>IF(($J$4="Twice"),"0-3","")</f>
      </c>
    </row>
    <row r="12" ht="22" customHeight="1">
      <c r="A12" s="9">
        <v>7</v>
      </c>
      <c r="B12" s="10"/>
      <c r="C12" s="13">
        <f>IF(($J$4="Twice"),"",IF(I6="3-0","0-3",IF(I6="3-1","1-3",IF(I6="3-2","2-3",IF(I6="2-3","3-2",IF(I6="1-3","3-1",IF(I6="0-3","3-0",IF(I6="Walkover won","Walkover lost",IF(I6="Walkover lost","Walkover won","")))))))))</f>
      </c>
      <c r="D12" s="13">
        <f>IF(($J$4="Twice"),"",IF(I7="3-0","0-3",IF(I7="3-1","1-3",IF(I7="3-2","2-3",IF(I7="2-3","3-2",IF(I7="1-3","3-1",IF(I7="0-3","3-0",IF(I7="Walkover won","Walkover lost",IF(I7="Walkover lost","Walkover won","")))))))))</f>
      </c>
      <c r="E12" s="13">
        <f>IF(($J$4="Twice"),"",IF(I8="3-0","0-3",IF(I8="3-1","1-3",IF(I8="3-2","2-3",IF(I8="2-3","3-2",IF(I8="1-3","3-1",IF(I8="0-3","3-0",IF(I8="Walkover won","Walkover lost",IF(I8="Walkover lost","Walkover won","")))))))))</f>
      </c>
      <c r="F12" s="13">
        <f>IF(($J$4="Twice"),"",IF(I9="3-0","0-3",IF(I9="3-1","1-3",IF(I9="3-2","2-3",IF(I9="2-3","3-2",IF(I9="1-3","3-1",IF(I9="0-3","3-0",IF(I9="Walkover won","Walkover lost",IF(I9="Walkover lost","Walkover won","")))))))))</f>
      </c>
      <c r="G12" s="13">
        <f>IF(($J$4="Twice"),"",IF(I10="3-0","0-3",IF(I10="3-1","1-3",IF(I10="3-2","2-3",IF(I10="2-3","3-2",IF(I10="1-3","3-1",IF(I10="0-3","3-0",IF(I10="Walkover won","Walkover lost",IF(I10="Walkover lost","Walkover won","")))))))))</f>
      </c>
      <c r="H12" s="13">
        <f>IF(($J$4="Twice"),"",IF(I11="3-0","0-3",IF(I11="3-1","1-3",IF(I11="3-2","2-3",IF(I11="2-3","3-2",IF(I11="1-3","3-1",IF(I11="0-3","3-0",IF(I11="Walkover won","Walkover lost",IF(I11="Walkover lost","Walkover won","")))))))))</f>
      </c>
      <c r="I12" s="14"/>
      <c r="J12" s="12"/>
      <c r="L12">
        <f>IF($B12="","",$B12)</f>
      </c>
      <c r="M12">
        <f>IF($L12="","",(COUNTIF($J$12:$J$12,"?*")+COUNTIF($I$6:$I$11,"?*")+($J$4="Twice")*(COUNTIF($C$12:$H$12,"?*")+COUNTIF($I$13:$I$13,"?*"))))</f>
      </c>
      <c r="N12">
        <f>IF($L12="","",(COUNTIF($J$12:$J$12,"3-*")+COUNTIF($I$6:$I$11,"?-3")+($J$4="Twice")*(COUNTIF($C$12:$H$12,"3-*")+COUNTIF($I$13:$I$13,"?-3")))+(COUNTIF($J$12:$J$12,"Walkover won")+COUNTIF($I$6:$I$11,"Walkover lost")+($J$4="Twice")*(COUNTIF($C$12:$H$12,"Walkover won")+COUNTIF($I$13:$I$13,"Walkover lost"))))</f>
      </c>
      <c r="O12">
        <f>IF($L12="","",(COUNTIF($J$12:$J$12,"1-3")+COUNTIF($I$6:$I$11,"3-1")+($J$4="Twice")*(COUNTIF($C$12:$H$12,"1-3")+COUNTIF($I$13:$I$13,"3-1")))+(COUNTIF($J$12:$J$12,"2-3")+COUNTIF($I$6:$I$11,"3-2")+($J$4="Twice")*(COUNTIF($C$12:$H$12,"2-3")+COUNTIF($I$13:$I$13,"3-2"))))</f>
      </c>
      <c r="P12">
        <f>IF($L12="","",(COUNTIF($J$12:$J$12,"0-3")+COUNTIF($I$6:$I$11,"3-0")+($J$4="Twice")*(COUNTIF($C$12:$H$12,"0-3")+COUNTIF($I$13:$I$13,"3-0"))))</f>
      </c>
      <c r="Q12">
        <f>IF($L12="","",(COUNTIF($J$12:$J$12,"Walkover won")+COUNTIF($I$6:$I$11,"Walkover lost")+($J$4="Twice")*(COUNTIF($C$12:$H$12,"Walkover won")+COUNTIF($I$13:$I$13,"Walkover lost"))))</f>
      </c>
      <c r="R12">
        <f>IF($L12="","",(COUNTIF($J$12:$J$12,"Walkover lost")+COUNTIF($I$6:$I$11,"Walkover won")+($J$4="Twice")*(COUNTIF($C$12:$H$12,"Walkover lost")+COUNTIF($I$13:$I$13,"Walkover won"))))</f>
      </c>
      <c r="S12">
        <f>IF($L12="","",3*(COUNTIF($J$12:$J$12,"3-*")+COUNTIF($I$6:$I$11,"?-3")+($J$4="Twice")*(COUNTIF($C$12:$H$12,"3-*")+COUNTIF($I$13:$I$13,"?-3")))+1*(COUNTIF($J$12:$J$12,"1-3")+COUNTIF($I$6:$I$11,"3-1")+($J$4="Twice")*(COUNTIF($C$12:$H$12,"1-3")+COUNTIF($I$13:$I$13,"3-1")))+2*(COUNTIF($J$12:$J$12,"2-3")+COUNTIF($I$6:$I$11,"3-2")+($J$4="Twice")*(COUNTIF($C$12:$H$12,"2-3")+COUNTIF($I$13:$I$13,"3-2")))+3*$Q12)</f>
      </c>
      <c r="T12">
        <f>IF($L12="","",1*(COUNTIF($J$12:$J$12,"3-1")+COUNTIF($I$6:$I$11,"1-3")+($J$4="Twice")*(COUNTIF($C$12:$H$12,"3-1")+COUNTIF($I$13:$I$13,"1-3")))+2*(COUNTIF($J$12:$J$12,"3-2")+COUNTIF($I$6:$I$11,"2-3")+($J$4="Twice")*(COUNTIF($C$12:$H$12,"3-2")+COUNTIF($I$13:$I$13,"2-3")))+3*(COUNTIF($J$12:$J$12,"?-3")+COUNTIF($I$6:$I$11,"3-*")+($J$4="Twice")*(COUNTIF($C$12:$H$12,"?-3")+COUNTIF($I$13:$I$13,"3-*")))+3*$R12)</f>
      </c>
      <c r="U12">
        <f>IF($L12="","",$N12*Settings!$C$5+$O12*Settings!$C$6+$P12*Settings!$C$7+$R12*Settings!$C$8)</f>
      </c>
      <c r="V12">
        <f>IF($L12="","",IF(AND($L$6&lt;&gt;"",$U$6=$U12),OR(RIGHT(I6,1)="3",I6="Walkover lost")*1+($J$4="Twice")*OR(LEFT(C12,1)="3",C12="Walkover won"),0)+IF(AND($L$7&lt;&gt;"",$U$7=$U12),OR(RIGHT(I7,1)="3",I7="Walkover lost")*1+($J$4="Twice")*OR(LEFT(D12,1)="3",D12="Walkover won"),0)+IF(AND($L$8&lt;&gt;"",$U$8=$U12),OR(RIGHT(I8,1)="3",I8="Walkover lost")*1+($J$4="Twice")*OR(LEFT(E12,1)="3",E12="Walkover won"),0)+IF(AND($L$9&lt;&gt;"",$U$9=$U12),OR(RIGHT(I9,1)="3",I9="Walkover lost")*1+($J$4="Twice")*OR(LEFT(F12,1)="3",F12="Walkover won"),0)+IF(AND($L$10&lt;&gt;"",$U$10=$U12),OR(RIGHT(I10,1)="3",I10="Walkover lost")*1+($J$4="Twice")*OR(LEFT(G12,1)="3",G12="Walkover won"),0)+IF(AND($L$11&lt;&gt;"",$U$11=$U12),OR(RIGHT(I11,1)="3",I11="Walkover lost")*1+($J$4="Twice")*OR(LEFT(H12,1)="3",H12="Walkover won"),0)+IF(AND($L$13&lt;&gt;"",$U$13=$U12),OR(LEFT(J12,1)="3",J12="Walkover won")*1+($J$4="Twice")*OR(RIGHT(I13,1)="3",I13="Walkover lost"),0))</f>
      </c>
      <c r="W12">
        <f>IF($L12="","",$U12*10000+$V12*1000+($S12-$T12+50)*10+2)</f>
      </c>
      <c r="X12">
        <f>IF($L12="","",1+COUNTIF($W$6:$W$13,"&gt;"&amp;$W12))</f>
      </c>
      <c r="Y12">
        <f>IF($L12="","",(COUNTIF($L$6:$L$13,"?*")-1)*(1+($J$4="Twice"))-$M12)</f>
      </c>
      <c r="Z12">
        <f>IF($L12="","",$O12+$P12+$R12)</f>
      </c>
      <c r="AA12">
        <f>IF(($J$4="Twice"),"Walkover won","")</f>
      </c>
    </row>
    <row r="13" ht="22" customHeight="1">
      <c r="A13" s="9">
        <v>8</v>
      </c>
      <c r="B13" s="10"/>
      <c r="C13" s="13">
        <f>IF(($J$4="Twice"),"",IF(J6="3-0","0-3",IF(J6="3-1","1-3",IF(J6="3-2","2-3",IF(J6="2-3","3-2",IF(J6="1-3","3-1",IF(J6="0-3","3-0",IF(J6="Walkover won","Walkover lost",IF(J6="Walkover lost","Walkover won","")))))))))</f>
      </c>
      <c r="D13" s="13">
        <f>IF(($J$4="Twice"),"",IF(J7="3-0","0-3",IF(J7="3-1","1-3",IF(J7="3-2","2-3",IF(J7="2-3","3-2",IF(J7="1-3","3-1",IF(J7="0-3","3-0",IF(J7="Walkover won","Walkover lost",IF(J7="Walkover lost","Walkover won","")))))))))</f>
      </c>
      <c r="E13" s="13">
        <f>IF(($J$4="Twice"),"",IF(J8="3-0","0-3",IF(J8="3-1","1-3",IF(J8="3-2","2-3",IF(J8="2-3","3-2",IF(J8="1-3","3-1",IF(J8="0-3","3-0",IF(J8="Walkover won","Walkover lost",IF(J8="Walkover lost","Walkover won","")))))))))</f>
      </c>
      <c r="F13" s="13">
        <f>IF(($J$4="Twice"),"",IF(J9="3-0","0-3",IF(J9="3-1","1-3",IF(J9="3-2","2-3",IF(J9="2-3","3-2",IF(J9="1-3","3-1",IF(J9="0-3","3-0",IF(J9="Walkover won","Walkover lost",IF(J9="Walkover lost","Walkover won","")))))))))</f>
      </c>
      <c r="G13" s="13">
        <f>IF(($J$4="Twice"),"",IF(J10="3-0","0-3",IF(J10="3-1","1-3",IF(J10="3-2","2-3",IF(J10="2-3","3-2",IF(J10="1-3","3-1",IF(J10="0-3","3-0",IF(J10="Walkover won","Walkover lost",IF(J10="Walkover lost","Walkover won","")))))))))</f>
      </c>
      <c r="H13" s="13">
        <f>IF(($J$4="Twice"),"",IF(J11="3-0","0-3",IF(J11="3-1","1-3",IF(J11="3-2","2-3",IF(J11="2-3","3-2",IF(J11="1-3","3-1",IF(J11="0-3","3-0",IF(J11="Walkover won","Walkover lost",IF(J11="Walkover lost","Walkover won","")))))))))</f>
      </c>
      <c r="I13" s="13">
        <f>IF(($J$4="Twice"),"",IF(J12="3-0","0-3",IF(J12="3-1","1-3",IF(J12="3-2","2-3",IF(J12="2-3","3-2",IF(J12="1-3","3-1",IF(J12="0-3","3-0",IF(J12="Walkover won","Walkover lost",IF(J12="Walkover lost","Walkover won","")))))))))</f>
      </c>
      <c r="J13" s="14"/>
      <c r="L13">
        <f>IF($B13="","",$B13)</f>
      </c>
      <c r="M13">
        <f>IF($L13="","",(0+COUNTIF($J$6:$J$12,"?*")+($J$4="Twice")*(COUNTIF($C$13:$I$13,"?*")+0)))</f>
      </c>
      <c r="N13">
        <f>IF($L13="","",(0+COUNTIF($J$6:$J$12,"?-3")+($J$4="Twice")*(COUNTIF($C$13:$I$13,"3-*")+0))+(0+COUNTIF($J$6:$J$12,"Walkover lost")+($J$4="Twice")*(COUNTIF($C$13:$I$13,"Walkover won")+0)))</f>
      </c>
      <c r="O13">
        <f>IF($L13="","",(0+COUNTIF($J$6:$J$12,"3-1")+($J$4="Twice")*(COUNTIF($C$13:$I$13,"1-3")+0))+(0+COUNTIF($J$6:$J$12,"3-2")+($J$4="Twice")*(COUNTIF($C$13:$I$13,"2-3")+0)))</f>
      </c>
      <c r="P13">
        <f>IF($L13="","",(0+COUNTIF($J$6:$J$12,"3-0")+($J$4="Twice")*(COUNTIF($C$13:$I$13,"0-3")+0)))</f>
      </c>
      <c r="Q13">
        <f>IF($L13="","",(0+COUNTIF($J$6:$J$12,"Walkover lost")+($J$4="Twice")*(COUNTIF($C$13:$I$13,"Walkover won")+0)))</f>
      </c>
      <c r="R13">
        <f>IF($L13="","",(0+COUNTIF($J$6:$J$12,"Walkover won")+($J$4="Twice")*(COUNTIF($C$13:$I$13,"Walkover lost")+0)))</f>
      </c>
      <c r="S13">
        <f>IF($L13="","",3*(0+COUNTIF($J$6:$J$12,"?-3")+($J$4="Twice")*(COUNTIF($C$13:$I$13,"3-*")+0))+1*(0+COUNTIF($J$6:$J$12,"3-1")+($J$4="Twice")*(COUNTIF($C$13:$I$13,"1-3")+0))+2*(0+COUNTIF($J$6:$J$12,"3-2")+($J$4="Twice")*(COUNTIF($C$13:$I$13,"2-3")+0))+3*$Q13)</f>
      </c>
      <c r="T13">
        <f>IF($L13="","",1*(0+COUNTIF($J$6:$J$12,"1-3")+($J$4="Twice")*(COUNTIF($C$13:$I$13,"3-1")+0))+2*(0+COUNTIF($J$6:$J$12,"2-3")+($J$4="Twice")*(COUNTIF($C$13:$I$13,"3-2")+0))+3*(0+COUNTIF($J$6:$J$12,"3-*")+($J$4="Twice")*(COUNTIF($C$13:$I$13,"?-3")+0))+3*$R13)</f>
      </c>
      <c r="U13">
        <f>IF($L13="","",$N13*Settings!$C$5+$O13*Settings!$C$6+$P13*Settings!$C$7+$R13*Settings!$C$8)</f>
      </c>
      <c r="V13">
        <f>IF($L13="","",IF(AND($L$6&lt;&gt;"",$U$6=$U13),OR(RIGHT(J6,1)="3",J6="Walkover lost")*1+($J$4="Twice")*OR(LEFT(C13,1)="3",C13="Walkover won"),0)+IF(AND($L$7&lt;&gt;"",$U$7=$U13),OR(RIGHT(J7,1)="3",J7="Walkover lost")*1+($J$4="Twice")*OR(LEFT(D13,1)="3",D13="Walkover won"),0)+IF(AND($L$8&lt;&gt;"",$U$8=$U13),OR(RIGHT(J8,1)="3",J8="Walkover lost")*1+($J$4="Twice")*OR(LEFT(E13,1)="3",E13="Walkover won"),0)+IF(AND($L$9&lt;&gt;"",$U$9=$U13),OR(RIGHT(J9,1)="3",J9="Walkover lost")*1+($J$4="Twice")*OR(LEFT(F13,1)="3",F13="Walkover won"),0)+IF(AND($L$10&lt;&gt;"",$U$10=$U13),OR(RIGHT(J10,1)="3",J10="Walkover lost")*1+($J$4="Twice")*OR(LEFT(G13,1)="3",G13="Walkover won"),0)+IF(AND($L$11&lt;&gt;"",$U$11=$U13),OR(RIGHT(J11,1)="3",J11="Walkover lost")*1+($J$4="Twice")*OR(LEFT(H13,1)="3",H13="Walkover won"),0)+IF(AND($L$12&lt;&gt;"",$U$12=$U13),OR(RIGHT(J12,1)="3",J12="Walkover lost")*1+($J$4="Twice")*OR(LEFT(I13,1)="3",I13="Walkover won"),0))</f>
      </c>
      <c r="W13">
        <f>IF($L13="","",$U13*10000+$V13*1000+($S13-$T13+50)*10+1)</f>
      </c>
      <c r="X13">
        <f>IF($L13="","",1+COUNTIF($W$6:$W$13,"&gt;"&amp;$W13))</f>
      </c>
      <c r="Y13">
        <f>IF($L13="","",(COUNTIF($L$6:$L$13,"?*")-1)*(1+($J$4="Twice"))-$M13)</f>
      </c>
      <c r="Z13">
        <f>IF($L13="","",$O13+$P13+$R13)</f>
      </c>
      <c r="AA13">
        <f>IF(($J$4="Twice"),"Walkover lost","")</f>
      </c>
    </row>
    <row r="14" ht="30" customHeight="1">
      <c r="A14" s="6">
        <f>IF(($J$4="Twice"),"Playing twice: the first match goes above the dark diagonal and the second below it, both from the row player's side. Green is a win, amber a loss having won a game, red a loss.","Playing once: pick each result above the dark diagonal, from the row player's side, and the grey half below fills itself in. Green is a win, amber a loss having won a game, red a loss.")</f>
      </c>
    </row>
    <row r="15"/>
    <row r="16">
      <c r="A16" s="5" t="inlineStr">
        <is>
          <t xml:space="preserve">The table</t>
        </is>
      </c>
      <c r="B16" s="5"/>
      <c r="C16" s="5"/>
      <c r="D16" s="5"/>
      <c r="E16" s="5"/>
      <c r="F16" s="5"/>
      <c r="G16" s="5"/>
      <c r="H16" s="5"/>
      <c r="I16" s="5"/>
      <c r="J16" s="5"/>
    </row>
    <row r="17" ht="24" customHeight="1">
      <c r="A17" s="7" t="inlineStr">
        <is>
          <t xml:space="preserve">Place</t>
        </is>
      </c>
      <c r="B17" s="8" t="inlineStr">
        <is>
          <t xml:space="preserve">Player</t>
        </is>
      </c>
      <c r="C17" s="7" t="inlineStr">
        <is>
          <t xml:space="preserve">Played</t>
        </is>
      </c>
      <c r="D17" s="7" t="inlineStr">
        <is>
          <t xml:space="preserve">Won</t>
        </is>
      </c>
      <c r="E17" s="7" t="inlineStr">
        <is>
          <t xml:space="preserve">Lost</t>
        </is>
      </c>
      <c r="F17" s="7" t="inlineStr">
        <is>
          <t xml:space="preserve">Games</t>
        </is>
      </c>
      <c r="G17" s="7" t="inlineStr">
        <is>
          <t xml:space="preserve">Points</t>
        </is>
      </c>
      <c r="H17" s="7" t="inlineStr">
        <is>
          <t xml:space="preserve">Left</t>
        </is>
      </c>
      <c r="I17" s="7" t="inlineStr">
        <is>
          <t xml:space="preserve">Moves</t>
        </is>
      </c>
      <c r="J17" s="7"/>
    </row>
    <row r="18" ht="22" customHeight="1">
      <c r="A18" s="17">
        <f>IF(1&gt;COUNTIF($L$6:$L$13,"?*"),"",1)</f>
      </c>
      <c r="B18" s="16">
        <f>IF($A18="","",INDEX($L$6:$L$13,MATCH(1,$X$6:$X$13,0)))</f>
      </c>
      <c r="C18" s="15">
        <f>IF($A18="","",INDEX($M$6:$M$13,MATCH(1,$X$6:$X$13,0)))</f>
      </c>
      <c r="D18" s="15">
        <f>IF($A18="","",INDEX($N$6:$N$13,MATCH(1,$X$6:$X$13,0)))</f>
      </c>
      <c r="E18" s="15">
        <f>IF($A18="","",INDEX($Z$6:$Z$13,MATCH(1,$X$6:$X$13,0)))</f>
      </c>
      <c r="F18" s="15">
        <f>IF($A18="","",INDEX($S$6:$S$13,MATCH(1,$X$6:$X$13,0))&amp;"-"&amp;INDEX($T$6:$T$13,MATCH(1,$X$6:$X$13,0)))</f>
      </c>
      <c r="G18" s="18">
        <f>IF($A18="","",INDEX($U$6:$U$13,MATCH(1,$X$6:$X$13,0)))</f>
      </c>
      <c r="H18" s="15">
        <f>IF($A18="","",INDEX($Y$6:$Y$13,MATCH(1,$X$6:$X$13,0)))</f>
      </c>
      <c r="I18" s="15">
        <f>IF($A18="","",IF(FALSE,"Up",IF(AND(1&lt;Settings!$C$14,$A18&gt;COUNTIF($L$6:$L$13,"?*")-Settings!$C$12),"Down","")))</f>
      </c>
      <c r="J18" s="15"/>
    </row>
    <row r="19" ht="22" customHeight="1">
      <c r="A19" s="17">
        <f>IF(2&gt;COUNTIF($L$6:$L$13,"?*"),"",2)</f>
      </c>
      <c r="B19" s="16">
        <f>IF($A19="","",INDEX($L$6:$L$13,MATCH(2,$X$6:$X$13,0)))</f>
      </c>
      <c r="C19" s="15">
        <f>IF($A19="","",INDEX($M$6:$M$13,MATCH(2,$X$6:$X$13,0)))</f>
      </c>
      <c r="D19" s="15">
        <f>IF($A19="","",INDEX($N$6:$N$13,MATCH(2,$X$6:$X$13,0)))</f>
      </c>
      <c r="E19" s="15">
        <f>IF($A19="","",INDEX($Z$6:$Z$13,MATCH(2,$X$6:$X$13,0)))</f>
      </c>
      <c r="F19" s="15">
        <f>IF($A19="","",INDEX($S$6:$S$13,MATCH(2,$X$6:$X$13,0))&amp;"-"&amp;INDEX($T$6:$T$13,MATCH(2,$X$6:$X$13,0)))</f>
      </c>
      <c r="G19" s="18">
        <f>IF($A19="","",INDEX($U$6:$U$13,MATCH(2,$X$6:$X$13,0)))</f>
      </c>
      <c r="H19" s="15">
        <f>IF($A19="","",INDEX($Y$6:$Y$13,MATCH(2,$X$6:$X$13,0)))</f>
      </c>
      <c r="I19" s="15">
        <f>IF($A19="","",IF(FALSE,"Up",IF(AND(1&lt;Settings!$C$14,$A19&gt;COUNTIF($L$6:$L$13,"?*")-Settings!$C$12),"Down","")))</f>
      </c>
      <c r="J19" s="15"/>
    </row>
    <row r="20" ht="22" customHeight="1">
      <c r="A20" s="17">
        <f>IF(3&gt;COUNTIF($L$6:$L$13,"?*"),"",3)</f>
      </c>
      <c r="B20" s="16">
        <f>IF($A20="","",INDEX($L$6:$L$13,MATCH(3,$X$6:$X$13,0)))</f>
      </c>
      <c r="C20" s="15">
        <f>IF($A20="","",INDEX($M$6:$M$13,MATCH(3,$X$6:$X$13,0)))</f>
      </c>
      <c r="D20" s="15">
        <f>IF($A20="","",INDEX($N$6:$N$13,MATCH(3,$X$6:$X$13,0)))</f>
      </c>
      <c r="E20" s="15">
        <f>IF($A20="","",INDEX($Z$6:$Z$13,MATCH(3,$X$6:$X$13,0)))</f>
      </c>
      <c r="F20" s="15">
        <f>IF($A20="","",INDEX($S$6:$S$13,MATCH(3,$X$6:$X$13,0))&amp;"-"&amp;INDEX($T$6:$T$13,MATCH(3,$X$6:$X$13,0)))</f>
      </c>
      <c r="G20" s="18">
        <f>IF($A20="","",INDEX($U$6:$U$13,MATCH(3,$X$6:$X$13,0)))</f>
      </c>
      <c r="H20" s="15">
        <f>IF($A20="","",INDEX($Y$6:$Y$13,MATCH(3,$X$6:$X$13,0)))</f>
      </c>
      <c r="I20" s="15">
        <f>IF($A20="","",IF(FALSE,"Up",IF(AND(1&lt;Settings!$C$14,$A20&gt;COUNTIF($L$6:$L$13,"?*")-Settings!$C$12),"Down","")))</f>
      </c>
      <c r="J20" s="15"/>
    </row>
    <row r="21" ht="22" customHeight="1">
      <c r="A21" s="17">
        <f>IF(4&gt;COUNTIF($L$6:$L$13,"?*"),"",4)</f>
      </c>
      <c r="B21" s="16">
        <f>IF($A21="","",INDEX($L$6:$L$13,MATCH(4,$X$6:$X$13,0)))</f>
      </c>
      <c r="C21" s="15">
        <f>IF($A21="","",INDEX($M$6:$M$13,MATCH(4,$X$6:$X$13,0)))</f>
      </c>
      <c r="D21" s="15">
        <f>IF($A21="","",INDEX($N$6:$N$13,MATCH(4,$X$6:$X$13,0)))</f>
      </c>
      <c r="E21" s="15">
        <f>IF($A21="","",INDEX($Z$6:$Z$13,MATCH(4,$X$6:$X$13,0)))</f>
      </c>
      <c r="F21" s="15">
        <f>IF($A21="","",INDEX($S$6:$S$13,MATCH(4,$X$6:$X$13,0))&amp;"-"&amp;INDEX($T$6:$T$13,MATCH(4,$X$6:$X$13,0)))</f>
      </c>
      <c r="G21" s="18">
        <f>IF($A21="","",INDEX($U$6:$U$13,MATCH(4,$X$6:$X$13,0)))</f>
      </c>
      <c r="H21" s="15">
        <f>IF($A21="","",INDEX($Y$6:$Y$13,MATCH(4,$X$6:$X$13,0)))</f>
      </c>
      <c r="I21" s="15">
        <f>IF($A21="","",IF(FALSE,"Up",IF(AND(1&lt;Settings!$C$14,$A21&gt;COUNTIF($L$6:$L$13,"?*")-Settings!$C$12),"Down","")))</f>
      </c>
      <c r="J21" s="15"/>
    </row>
    <row r="22" ht="22" customHeight="1">
      <c r="A22" s="17">
        <f>IF(5&gt;COUNTIF($L$6:$L$13,"?*"),"",5)</f>
      </c>
      <c r="B22" s="16">
        <f>IF($A22="","",INDEX($L$6:$L$13,MATCH(5,$X$6:$X$13,0)))</f>
      </c>
      <c r="C22" s="15">
        <f>IF($A22="","",INDEX($M$6:$M$13,MATCH(5,$X$6:$X$13,0)))</f>
      </c>
      <c r="D22" s="15">
        <f>IF($A22="","",INDEX($N$6:$N$13,MATCH(5,$X$6:$X$13,0)))</f>
      </c>
      <c r="E22" s="15">
        <f>IF($A22="","",INDEX($Z$6:$Z$13,MATCH(5,$X$6:$X$13,0)))</f>
      </c>
      <c r="F22" s="15">
        <f>IF($A22="","",INDEX($S$6:$S$13,MATCH(5,$X$6:$X$13,0))&amp;"-"&amp;INDEX($T$6:$T$13,MATCH(5,$X$6:$X$13,0)))</f>
      </c>
      <c r="G22" s="18">
        <f>IF($A22="","",INDEX($U$6:$U$13,MATCH(5,$X$6:$X$13,0)))</f>
      </c>
      <c r="H22" s="15">
        <f>IF($A22="","",INDEX($Y$6:$Y$13,MATCH(5,$X$6:$X$13,0)))</f>
      </c>
      <c r="I22" s="15">
        <f>IF($A22="","",IF(FALSE,"Up",IF(AND(1&lt;Settings!$C$14,$A22&gt;COUNTIF($L$6:$L$13,"?*")-Settings!$C$12),"Down","")))</f>
      </c>
      <c r="J22" s="15"/>
    </row>
    <row r="23" ht="22" customHeight="1">
      <c r="A23" s="17">
        <f>IF(6&gt;COUNTIF($L$6:$L$13,"?*"),"",6)</f>
      </c>
      <c r="B23" s="16">
        <f>IF($A23="","",INDEX($L$6:$L$13,MATCH(6,$X$6:$X$13,0)))</f>
      </c>
      <c r="C23" s="15">
        <f>IF($A23="","",INDEX($M$6:$M$13,MATCH(6,$X$6:$X$13,0)))</f>
      </c>
      <c r="D23" s="15">
        <f>IF($A23="","",INDEX($N$6:$N$13,MATCH(6,$X$6:$X$13,0)))</f>
      </c>
      <c r="E23" s="15">
        <f>IF($A23="","",INDEX($Z$6:$Z$13,MATCH(6,$X$6:$X$13,0)))</f>
      </c>
      <c r="F23" s="15">
        <f>IF($A23="","",INDEX($S$6:$S$13,MATCH(6,$X$6:$X$13,0))&amp;"-"&amp;INDEX($T$6:$T$13,MATCH(6,$X$6:$X$13,0)))</f>
      </c>
      <c r="G23" s="18">
        <f>IF($A23="","",INDEX($U$6:$U$13,MATCH(6,$X$6:$X$13,0)))</f>
      </c>
      <c r="H23" s="15">
        <f>IF($A23="","",INDEX($Y$6:$Y$13,MATCH(6,$X$6:$X$13,0)))</f>
      </c>
      <c r="I23" s="15">
        <f>IF($A23="","",IF(FALSE,"Up",IF(AND(1&lt;Settings!$C$14,$A23&gt;COUNTIF($L$6:$L$13,"?*")-Settings!$C$12),"Down","")))</f>
      </c>
      <c r="J23" s="15"/>
    </row>
    <row r="24" ht="22" customHeight="1">
      <c r="A24" s="17">
        <f>IF(7&gt;COUNTIF($L$6:$L$13,"?*"),"",7)</f>
      </c>
      <c r="B24" s="16">
        <f>IF($A24="","",INDEX($L$6:$L$13,MATCH(7,$X$6:$X$13,0)))</f>
      </c>
      <c r="C24" s="15">
        <f>IF($A24="","",INDEX($M$6:$M$13,MATCH(7,$X$6:$X$13,0)))</f>
      </c>
      <c r="D24" s="15">
        <f>IF($A24="","",INDEX($N$6:$N$13,MATCH(7,$X$6:$X$13,0)))</f>
      </c>
      <c r="E24" s="15">
        <f>IF($A24="","",INDEX($Z$6:$Z$13,MATCH(7,$X$6:$X$13,0)))</f>
      </c>
      <c r="F24" s="15">
        <f>IF($A24="","",INDEX($S$6:$S$13,MATCH(7,$X$6:$X$13,0))&amp;"-"&amp;INDEX($T$6:$T$13,MATCH(7,$X$6:$X$13,0)))</f>
      </c>
      <c r="G24" s="18">
        <f>IF($A24="","",INDEX($U$6:$U$13,MATCH(7,$X$6:$X$13,0)))</f>
      </c>
      <c r="H24" s="15">
        <f>IF($A24="","",INDEX($Y$6:$Y$13,MATCH(7,$X$6:$X$13,0)))</f>
      </c>
      <c r="I24" s="15">
        <f>IF($A24="","",IF(FALSE,"Up",IF(AND(1&lt;Settings!$C$14,$A24&gt;COUNTIF($L$6:$L$13,"?*")-Settings!$C$12),"Down","")))</f>
      </c>
      <c r="J24" s="15"/>
    </row>
    <row r="25" ht="22" customHeight="1">
      <c r="A25" s="17">
        <f>IF(8&gt;COUNTIF($L$6:$L$13,"?*"),"",8)</f>
      </c>
      <c r="B25" s="16">
        <f>IF($A25="","",INDEX($L$6:$L$13,MATCH(8,$X$6:$X$13,0)))</f>
      </c>
      <c r="C25" s="15">
        <f>IF($A25="","",INDEX($M$6:$M$13,MATCH(8,$X$6:$X$13,0)))</f>
      </c>
      <c r="D25" s="15">
        <f>IF($A25="","",INDEX($N$6:$N$13,MATCH(8,$X$6:$X$13,0)))</f>
      </c>
      <c r="E25" s="15">
        <f>IF($A25="","",INDEX($Z$6:$Z$13,MATCH(8,$X$6:$X$13,0)))</f>
      </c>
      <c r="F25" s="15">
        <f>IF($A25="","",INDEX($S$6:$S$13,MATCH(8,$X$6:$X$13,0))&amp;"-"&amp;INDEX($T$6:$T$13,MATCH(8,$X$6:$X$13,0)))</f>
      </c>
      <c r="G25" s="18">
        <f>IF($A25="","",INDEX($U$6:$U$13,MATCH(8,$X$6:$X$13,0)))</f>
      </c>
      <c r="H25" s="15">
        <f>IF($A25="","",INDEX($Y$6:$Y$13,MATCH(8,$X$6:$X$13,0)))</f>
      </c>
      <c r="I25" s="15">
        <f>IF($A25="","",IF(FALSE,"Up",IF(AND(1&lt;Settings!$C$14,$A25&gt;COUNTIF($L$6:$L$13,"?*")-Settings!$C$12),"Down","")))</f>
      </c>
      <c r="J25" s="15"/>
    </row>
    <row r="26"/>
    <row r="27" ht="30" customHeight="1">
      <c r="A27" s="6" t="inlineStr">
        <is>
          <t xml:space="preserve">Level on points: the result between the players decides, then game difference, then the order the names were typed. Up and Down follow the Settings tab.</t>
        </is>
      </c>
    </row>
    <row r="28"/>
    <row r="29" ht="32" customHeight="1">
      <c r="A29" s="2" t="inlineStr">
        <is>
          <t xml:space="preserve">Made with Clayside's free squash box league spreadsheet. Let the players enter the scores instead.</t>
        </is>
      </c>
      <c r="B29" s="2"/>
      <c r="C29" s="2"/>
      <c r="D29" s="2"/>
      <c r="E29" s="2"/>
      <c r="F29" s="2"/>
      <c r="G29" s="2"/>
      <c r="H29" s="2"/>
      <c r="I29" s="4" t="inlineStr">
        <is>
          <t xml:space="preserve">clayside.app</t>
        </is>
      </c>
      <c r="J29" s="4"/>
    </row>
  </sheetData>
  <mergeCells count="17">
    <mergeCell ref="A2:J2"/>
    <mergeCell ref="A4:G4"/>
    <mergeCell ref="H4:I4"/>
    <mergeCell ref="A14:J14"/>
    <mergeCell ref="A16:J16"/>
    <mergeCell ref="I17:J17"/>
    <mergeCell ref="A27:J27"/>
    <mergeCell ref="A29:H29"/>
    <mergeCell ref="I29:J29"/>
    <mergeCell ref="I18:J18"/>
    <mergeCell ref="I19:J19"/>
    <mergeCell ref="I20:J20"/>
    <mergeCell ref="I21:J21"/>
    <mergeCell ref="I22:J22"/>
    <mergeCell ref="I23:J23"/>
    <mergeCell ref="I24:J24"/>
    <mergeCell ref="I25:J25"/>
  </mergeCells>
  <conditionalFormatting sqref="C6:J13">
    <cfRule type="expression" dxfId="6" priority="1">
      <formula>AND($J$4&lt;&gt;"Twice",ROW(C6)-6&gt;COLUMN(C6)-3)</formula>
    </cfRule>
    <cfRule type="expression" dxfId="0" priority="2">
      <formula>OR(LEFT(C6,1)="3",C6="Walkover won")</formula>
    </cfRule>
    <cfRule type="expression" dxfId="1" priority="3">
      <formula>OR(C6="1-3",C6="2-3")</formula>
    </cfRule>
    <cfRule type="expression" dxfId="2" priority="4">
      <formula>OR(C6="0-3",C6="Walkover lost")</formula>
    </cfRule>
    <cfRule type="expression" dxfId="5" priority="5">
      <formula>AND($J$4="Twice",ROW(C6)-6&gt;COLUMN(C6)-3)</formula>
    </cfRule>
  </conditionalFormatting>
  <conditionalFormatting sqref="I18:I25">
    <cfRule type="expression" dxfId="3" priority="6">
      <formula>I18="Up"</formula>
    </cfRule>
    <cfRule type="expression" dxfId="4" priority="7">
      <formula>I18="Down"</formula>
    </cfRule>
  </conditionalFormatting>
  <dataValidations count="3">
    <dataValidation type="list" allowBlank="1" showInputMessage="1" showErrorMessage="1" errorStyle="stop" errorTitle="Once or twice" error="Pick Once or Twice." promptTitle="Once or twice" prompt="Does each pair in this box play once, or twice?" sqref="J4">
      <formula1>"Once,Twice"</formula1>
    </dataValidation>
    <dataValidation type="list" allowBlank="1" showInputMessage="1" showErrorMessage="1" errorStyle="stop" errorTitle="Pick a result from the list" error="A result is 3-0, 3-1, 3-2, 2-3, 1-3 or 0-3 in games, or a walkover. Pick one from the drop-down." promptTitle="The result" prompt="Pick the result from the row player's side. Played twice, this is the first match." sqref="D6 E6 F6 G6 H6 I6 J6 E7 F7 G7 H7 I7 J7 F8 G8 H8 I8 J8 G9 H9 I9 J9 H10 I10 J10 I11 J11 J12">
      <formula1>"3-0,3-1,3-2,2-3,1-3,0-3,Walkover won,Walkover lost"</formula1>
    </dataValidation>
    <dataValidation type="list" allowBlank="0" showInputMessage="1" showErrorMessage="1" errorStyle="stop" errorTitle="Not this square" error="Playing once, the result goes in the cream square above the dark diagonal. Playing twice, pick 3-0, 3-1, 3-2, 2-3, 1-3, 0-3 or a walkover from the drop-down." promptTitle="Below the diagonal" prompt="Playing once, leave this half alone: it fills itself in from the result above. Playing twice, pick the second match here." sqref="C7 C8 D8 C9 D9 E9 C10 D10 E10 F10 C11 D11 E11 F11 G11 C12 D12 E12 F12 G12 H12 C13 D13 E13 F13 G13 H13 I13">
      <formula1>$AA$6:$AA$13</formula1>
    </dataValidation>
  </dataValidations>
  <pageMargins left="0.4" right="0.4" top="0.5" bottom="0.5" header="0.3" footer="0.3"/>
  <pageSetup paperSize="9" orientation="landscape" fitToWidth="1" fitToHeight="1"/>
</worksheet>
</file>

<file path=xl/worksheets/sheet3.xml><?xml version="1.0" encoding="utf-8"?>
<worksheet xmlns="http://schemas.openxmlformats.org/spreadsheetml/2006/main">
  <sheetPr>
    <tabColor rgb="FFB08A3E"/>
    <pageSetUpPr fitToPage="1"/>
  </sheetPr>
  <sheetViews>
    <sheetView workbookViewId="0" showGridLines="0"/>
  </sheetViews>
  <cols>
    <col min="1" max="1" width="6" customWidth="1"/>
    <col min="2" max="2" width="2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3" customWidth="1"/>
    <col min="12" max="12" width="10" customWidth="1" hidden="1"/>
    <col min="13" max="13" width="10" customWidth="1" hidden="1"/>
    <col min="14" max="14" width="10" customWidth="1" hidden="1"/>
    <col min="15" max="15" width="10" customWidth="1" hidden="1"/>
    <col min="16" max="16" width="10" customWidth="1" hidden="1"/>
    <col min="17" max="17" width="10" customWidth="1" hidden="1"/>
    <col min="18" max="18" width="10" customWidth="1" hidden="1"/>
    <col min="19" max="19" width="10" customWidth="1" hidden="1"/>
    <col min="20" max="20" width="10" customWidth="1" hidden="1"/>
    <col min="21" max="21" width="10" customWidth="1" hidden="1"/>
    <col min="22" max="22" width="10" customWidth="1" hidden="1"/>
    <col min="23" max="23" width="10" customWidth="1" hidden="1"/>
    <col min="24" max="24" width="10" customWidth="1" hidden="1"/>
    <col min="25" max="25" width="10" customWidth="1" hidden="1"/>
    <col min="26" max="26" width="10" customWidth="1" hidden="1"/>
    <col min="27" max="27" width="10" customWidth="1" hidden="1"/>
  </cols>
  <sheetData>
    <row r="1" ht="34" customHeight="1">
      <c r="A1" s="1" t="inlineStr">
        <is>
          <t xml:space="preserve">Box 2</t>
        </is>
      </c>
      <c r="B1" s="2"/>
      <c r="C1" s="2"/>
      <c r="D1" s="2"/>
      <c r="E1" s="2"/>
      <c r="F1" s="2"/>
      <c r="G1" s="2"/>
      <c r="H1" s="2"/>
      <c r="I1" s="2"/>
      <c r="J1" s="2"/>
    </row>
    <row r="2" ht="44" customHeight="1">
      <c r="A2" s="6" t="inlineStr">
        <is>
          <t xml:space="preserve">Type the names in column B, and choose whether each pair plays once or twice. Then pick each result from the drop-down in a cream cell, from the row player's side, in games. The colours and the table follow by themselves.</t>
        </is>
      </c>
    </row>
    <row r="3"/>
    <row r="4" ht="26" customHeight="1">
      <c r="A4" s="5" t="inlineStr">
        <is>
          <t xml:space="preserve">Players and results</t>
        </is>
      </c>
      <c r="B4" s="5"/>
      <c r="C4" s="5"/>
      <c r="D4" s="5"/>
      <c r="E4" s="5"/>
      <c r="F4" s="5"/>
      <c r="G4" s="5"/>
      <c r="H4" s="23" t="inlineStr">
        <is>
          <t xml:space="preserve">Each pair plays</t>
        </is>
      </c>
      <c r="I4" s="23"/>
      <c r="J4" s="24" t="inlineStr">
        <is>
          <t xml:space="preserve">Once</t>
        </is>
      </c>
    </row>
    <row r="5" ht="30" customHeight="1">
      <c r="A5" s="11" t="inlineStr">
        <is>
          <t xml:space="preserve">No.</t>
        </is>
      </c>
      <c r="B5" s="11" t="inlineStr">
        <is>
          <t xml:space="preserve">Player</t>
        </is>
      </c>
      <c r="C5" s="11">
        <f>IF($B$6="","1",$B$6)</f>
      </c>
      <c r="D5" s="11">
        <f>IF($B$7="","2",$B$7)</f>
      </c>
      <c r="E5" s="11">
        <f>IF($B$8="","3",$B$8)</f>
      </c>
      <c r="F5" s="11">
        <f>IF($B$9="","4",$B$9)</f>
      </c>
      <c r="G5" s="11">
        <f>IF($B$10="","5",$B$10)</f>
      </c>
      <c r="H5" s="11">
        <f>IF($B$11="","6",$B$11)</f>
      </c>
      <c r="I5" s="11">
        <f>IF($B$12="","7",$B$12)</f>
      </c>
      <c r="J5" s="11">
        <f>IF($B$13="","8",$B$13)</f>
      </c>
      <c r="L5" s="22" t="inlineStr">
        <is>
          <t xml:space="preserve">Worked out for you</t>
        </is>
      </c>
    </row>
    <row r="6" ht="22" customHeight="1">
      <c r="A6" s="9">
        <v>1</v>
      </c>
      <c r="B6" s="10"/>
      <c r="C6" s="14"/>
      <c r="D6" s="12"/>
      <c r="E6" s="12"/>
      <c r="F6" s="12"/>
      <c r="G6" s="12"/>
      <c r="H6" s="12"/>
      <c r="I6" s="12"/>
      <c r="J6" s="12"/>
      <c r="L6">
        <f>IF($B6="","",$B6)</f>
      </c>
      <c r="M6">
        <f>IF($L6="","",(COUNTIF($D$6:$J$6,"?*")+0+($J$4="Twice")*(0+COUNTIF($C$7:$C$13,"?*"))))</f>
      </c>
      <c r="N6">
        <f>IF($L6="","",(COUNTIF($D$6:$J$6,"3-*")+0+($J$4="Twice")*(0+COUNTIF($C$7:$C$13,"?-3")))+(COUNTIF($D$6:$J$6,"Walkover won")+0+($J$4="Twice")*(0+COUNTIF($C$7:$C$13,"Walkover lost"))))</f>
      </c>
      <c r="O6">
        <f>IF($L6="","",(COUNTIF($D$6:$J$6,"1-3")+0+($J$4="Twice")*(0+COUNTIF($C$7:$C$13,"3-1")))+(COUNTIF($D$6:$J$6,"2-3")+0+($J$4="Twice")*(0+COUNTIF($C$7:$C$13,"3-2"))))</f>
      </c>
      <c r="P6">
        <f>IF($L6="","",(COUNTIF($D$6:$J$6,"0-3")+0+($J$4="Twice")*(0+COUNTIF($C$7:$C$13,"3-0"))))</f>
      </c>
      <c r="Q6">
        <f>IF($L6="","",(COUNTIF($D$6:$J$6,"Walkover won")+0+($J$4="Twice")*(0+COUNTIF($C$7:$C$13,"Walkover lost"))))</f>
      </c>
      <c r="R6">
        <f>IF($L6="","",(COUNTIF($D$6:$J$6,"Walkover lost")+0+($J$4="Twice")*(0+COUNTIF($C$7:$C$13,"Walkover won"))))</f>
      </c>
      <c r="S6">
        <f>IF($L6="","",3*(COUNTIF($D$6:$J$6,"3-*")+0+($J$4="Twice")*(0+COUNTIF($C$7:$C$13,"?-3")))+1*(COUNTIF($D$6:$J$6,"1-3")+0+($J$4="Twice")*(0+COUNTIF($C$7:$C$13,"3-1")))+2*(COUNTIF($D$6:$J$6,"2-3")+0+($J$4="Twice")*(0+COUNTIF($C$7:$C$13,"3-2")))+3*$Q6)</f>
      </c>
      <c r="T6">
        <f>IF($L6="","",1*(COUNTIF($D$6:$J$6,"3-1")+0+($J$4="Twice")*(0+COUNTIF($C$7:$C$13,"1-3")))+2*(COUNTIF($D$6:$J$6,"3-2")+0+($J$4="Twice")*(0+COUNTIF($C$7:$C$13,"2-3")))+3*(COUNTIF($D$6:$J$6,"?-3")+0+($J$4="Twice")*(0+COUNTIF($C$7:$C$13,"3-*")))+3*$R6)</f>
      </c>
      <c r="U6">
        <f>IF($L6="","",$N6*Settings!$C$5+$O6*Settings!$C$6+$P6*Settings!$C$7+$R6*Settings!$C$8)</f>
      </c>
      <c r="V6">
        <f>IF($L6="","",IF(AND($L$7&lt;&gt;"",$U$7=$U6),OR(LEFT(D6,1)="3",D6="Walkover won")*1+($J$4="Twice")*OR(RIGHT(C7,1)="3",C7="Walkover lost"),0)+IF(AND($L$8&lt;&gt;"",$U$8=$U6),OR(LEFT(E6,1)="3",E6="Walkover won")*1+($J$4="Twice")*OR(RIGHT(C8,1)="3",C8="Walkover lost"),0)+IF(AND($L$9&lt;&gt;"",$U$9=$U6),OR(LEFT(F6,1)="3",F6="Walkover won")*1+($J$4="Twice")*OR(RIGHT(C9,1)="3",C9="Walkover lost"),0)+IF(AND($L$10&lt;&gt;"",$U$10=$U6),OR(LEFT(G6,1)="3",G6="Walkover won")*1+($J$4="Twice")*OR(RIGHT(C10,1)="3",C10="Walkover lost"),0)+IF(AND($L$11&lt;&gt;"",$U$11=$U6),OR(LEFT(H6,1)="3",H6="Walkover won")*1+($J$4="Twice")*OR(RIGHT(C11,1)="3",C11="Walkover lost"),0)+IF(AND($L$12&lt;&gt;"",$U$12=$U6),OR(LEFT(I6,1)="3",I6="Walkover won")*1+($J$4="Twice")*OR(RIGHT(C12,1)="3",C12="Walkover lost"),0)+IF(AND($L$13&lt;&gt;"",$U$13=$U6),OR(LEFT(J6,1)="3",J6="Walkover won")*1+($J$4="Twice")*OR(RIGHT(C13,1)="3",C13="Walkover lost"),0))</f>
      </c>
      <c r="W6">
        <f>IF($L6="","",$U6*10000+$V6*1000+($S6-$T6+50)*10+8)</f>
      </c>
      <c r="X6">
        <f>IF($L6="","",1+COUNTIF($W$6:$W$13,"&gt;"&amp;$W6))</f>
      </c>
      <c r="Y6">
        <f>IF($L6="","",(COUNTIF($L$6:$L$13,"?*")-1)*(1+($J$4="Twice"))-$M6)</f>
      </c>
      <c r="Z6">
        <f>IF($L6="","",$O6+$P6+$R6)</f>
      </c>
      <c r="AA6">
        <f>IF(($J$4="Twice"),"3-0","")</f>
      </c>
    </row>
    <row r="7" ht="22" customHeight="1">
      <c r="A7" s="9">
        <v>2</v>
      </c>
      <c r="B7" s="10"/>
      <c r="C7" s="13">
        <f>IF(($J$4="Twice"),"",IF(D6="3-0","0-3",IF(D6="3-1","1-3",IF(D6="3-2","2-3",IF(D6="2-3","3-2",IF(D6="1-3","3-1",IF(D6="0-3","3-0",IF(D6="Walkover won","Walkover lost",IF(D6="Walkover lost","Walkover won","")))))))))</f>
      </c>
      <c r="D7" s="14"/>
      <c r="E7" s="12"/>
      <c r="F7" s="12"/>
      <c r="G7" s="12"/>
      <c r="H7" s="12"/>
      <c r="I7" s="12"/>
      <c r="J7" s="12"/>
      <c r="L7">
        <f>IF($B7="","",$B7)</f>
      </c>
      <c r="M7">
        <f>IF($L7="","",(COUNTIF($E$7:$J$7,"?*")+COUNTIF($D$6:$D$6,"?*")+($J$4="Twice")*(COUNTIF($C$7:$C$7,"?*")+COUNTIF($D$8:$D$13,"?*"))))</f>
      </c>
      <c r="N7">
        <f>IF($L7="","",(COUNTIF($E$7:$J$7,"3-*")+COUNTIF($D$6:$D$6,"?-3")+($J$4="Twice")*(COUNTIF($C$7:$C$7,"3-*")+COUNTIF($D$8:$D$13,"?-3")))+(COUNTIF($E$7:$J$7,"Walkover won")+COUNTIF($D$6:$D$6,"Walkover lost")+($J$4="Twice")*(COUNTIF($C$7:$C$7,"Walkover won")+COUNTIF($D$8:$D$13,"Walkover lost"))))</f>
      </c>
      <c r="O7">
        <f>IF($L7="","",(COUNTIF($E$7:$J$7,"1-3")+COUNTIF($D$6:$D$6,"3-1")+($J$4="Twice")*(COUNTIF($C$7:$C$7,"1-3")+COUNTIF($D$8:$D$13,"3-1")))+(COUNTIF($E$7:$J$7,"2-3")+COUNTIF($D$6:$D$6,"3-2")+($J$4="Twice")*(COUNTIF($C$7:$C$7,"2-3")+COUNTIF($D$8:$D$13,"3-2"))))</f>
      </c>
      <c r="P7">
        <f>IF($L7="","",(COUNTIF($E$7:$J$7,"0-3")+COUNTIF($D$6:$D$6,"3-0")+($J$4="Twice")*(COUNTIF($C$7:$C$7,"0-3")+COUNTIF($D$8:$D$13,"3-0"))))</f>
      </c>
      <c r="Q7">
        <f>IF($L7="","",(COUNTIF($E$7:$J$7,"Walkover won")+COUNTIF($D$6:$D$6,"Walkover lost")+($J$4="Twice")*(COUNTIF($C$7:$C$7,"Walkover won")+COUNTIF($D$8:$D$13,"Walkover lost"))))</f>
      </c>
      <c r="R7">
        <f>IF($L7="","",(COUNTIF($E$7:$J$7,"Walkover lost")+COUNTIF($D$6:$D$6,"Walkover won")+($J$4="Twice")*(COUNTIF($C$7:$C$7,"Walkover lost")+COUNTIF($D$8:$D$13,"Walkover won"))))</f>
      </c>
      <c r="S7">
        <f>IF($L7="","",3*(COUNTIF($E$7:$J$7,"3-*")+COUNTIF($D$6:$D$6,"?-3")+($J$4="Twice")*(COUNTIF($C$7:$C$7,"3-*")+COUNTIF($D$8:$D$13,"?-3")))+1*(COUNTIF($E$7:$J$7,"1-3")+COUNTIF($D$6:$D$6,"3-1")+($J$4="Twice")*(COUNTIF($C$7:$C$7,"1-3")+COUNTIF($D$8:$D$13,"3-1")))+2*(COUNTIF($E$7:$J$7,"2-3")+COUNTIF($D$6:$D$6,"3-2")+($J$4="Twice")*(COUNTIF($C$7:$C$7,"2-3")+COUNTIF($D$8:$D$13,"3-2")))+3*$Q7)</f>
      </c>
      <c r="T7">
        <f>IF($L7="","",1*(COUNTIF($E$7:$J$7,"3-1")+COUNTIF($D$6:$D$6,"1-3")+($J$4="Twice")*(COUNTIF($C$7:$C$7,"3-1")+COUNTIF($D$8:$D$13,"1-3")))+2*(COUNTIF($E$7:$J$7,"3-2")+COUNTIF($D$6:$D$6,"2-3")+($J$4="Twice")*(COUNTIF($C$7:$C$7,"3-2")+COUNTIF($D$8:$D$13,"2-3")))+3*(COUNTIF($E$7:$J$7,"?-3")+COUNTIF($D$6:$D$6,"3-*")+($J$4="Twice")*(COUNTIF($C$7:$C$7,"?-3")+COUNTIF($D$8:$D$13,"3-*")))+3*$R7)</f>
      </c>
      <c r="U7">
        <f>IF($L7="","",$N7*Settings!$C$5+$O7*Settings!$C$6+$P7*Settings!$C$7+$R7*Settings!$C$8)</f>
      </c>
      <c r="V7">
        <f>IF($L7="","",IF(AND($L$6&lt;&gt;"",$U$6=$U7),OR(RIGHT(D6,1)="3",D6="Walkover lost")*1+($J$4="Twice")*OR(LEFT(C7,1)="3",C7="Walkover won"),0)+IF(AND($L$8&lt;&gt;"",$U$8=$U7),OR(LEFT(E7,1)="3",E7="Walkover won")*1+($J$4="Twice")*OR(RIGHT(D8,1)="3",D8="Walkover lost"),0)+IF(AND($L$9&lt;&gt;"",$U$9=$U7),OR(LEFT(F7,1)="3",F7="Walkover won")*1+($J$4="Twice")*OR(RIGHT(D9,1)="3",D9="Walkover lost"),0)+IF(AND($L$10&lt;&gt;"",$U$10=$U7),OR(LEFT(G7,1)="3",G7="Walkover won")*1+($J$4="Twice")*OR(RIGHT(D10,1)="3",D10="Walkover lost"),0)+IF(AND($L$11&lt;&gt;"",$U$11=$U7),OR(LEFT(H7,1)="3",H7="Walkover won")*1+($J$4="Twice")*OR(RIGHT(D11,1)="3",D11="Walkover lost"),0)+IF(AND($L$12&lt;&gt;"",$U$12=$U7),OR(LEFT(I7,1)="3",I7="Walkover won")*1+($J$4="Twice")*OR(RIGHT(D12,1)="3",D12="Walkover lost"),0)+IF(AND($L$13&lt;&gt;"",$U$13=$U7),OR(LEFT(J7,1)="3",J7="Walkover won")*1+($J$4="Twice")*OR(RIGHT(D13,1)="3",D13="Walkover lost"),0))</f>
      </c>
      <c r="W7">
        <f>IF($L7="","",$U7*10000+$V7*1000+($S7-$T7+50)*10+7)</f>
      </c>
      <c r="X7">
        <f>IF($L7="","",1+COUNTIF($W$6:$W$13,"&gt;"&amp;$W7))</f>
      </c>
      <c r="Y7">
        <f>IF($L7="","",(COUNTIF($L$6:$L$13,"?*")-1)*(1+($J$4="Twice"))-$M7)</f>
      </c>
      <c r="Z7">
        <f>IF($L7="","",$O7+$P7+$R7)</f>
      </c>
      <c r="AA7">
        <f>IF(($J$4="Twice"),"3-1","")</f>
      </c>
    </row>
    <row r="8" ht="22" customHeight="1">
      <c r="A8" s="9">
        <v>3</v>
      </c>
      <c r="B8" s="10"/>
      <c r="C8" s="13">
        <f>IF(($J$4="Twice"),"",IF(E6="3-0","0-3",IF(E6="3-1","1-3",IF(E6="3-2","2-3",IF(E6="2-3","3-2",IF(E6="1-3","3-1",IF(E6="0-3","3-0",IF(E6="Walkover won","Walkover lost",IF(E6="Walkover lost","Walkover won","")))))))))</f>
      </c>
      <c r="D8" s="13">
        <f>IF(($J$4="Twice"),"",IF(E7="3-0","0-3",IF(E7="3-1","1-3",IF(E7="3-2","2-3",IF(E7="2-3","3-2",IF(E7="1-3","3-1",IF(E7="0-3","3-0",IF(E7="Walkover won","Walkover lost",IF(E7="Walkover lost","Walkover won","")))))))))</f>
      </c>
      <c r="E8" s="14"/>
      <c r="F8" s="12"/>
      <c r="G8" s="12"/>
      <c r="H8" s="12"/>
      <c r="I8" s="12"/>
      <c r="J8" s="12"/>
      <c r="L8">
        <f>IF($B8="","",$B8)</f>
      </c>
      <c r="M8">
        <f>IF($L8="","",(COUNTIF($F$8:$J$8,"?*")+COUNTIF($E$6:$E$7,"?*")+($J$4="Twice")*(COUNTIF($C$8:$D$8,"?*")+COUNTIF($E$9:$E$13,"?*"))))</f>
      </c>
      <c r="N8">
        <f>IF($L8="","",(COUNTIF($F$8:$J$8,"3-*")+COUNTIF($E$6:$E$7,"?-3")+($J$4="Twice")*(COUNTIF($C$8:$D$8,"3-*")+COUNTIF($E$9:$E$13,"?-3")))+(COUNTIF($F$8:$J$8,"Walkover won")+COUNTIF($E$6:$E$7,"Walkover lost")+($J$4="Twice")*(COUNTIF($C$8:$D$8,"Walkover won")+COUNTIF($E$9:$E$13,"Walkover lost"))))</f>
      </c>
      <c r="O8">
        <f>IF($L8="","",(COUNTIF($F$8:$J$8,"1-3")+COUNTIF($E$6:$E$7,"3-1")+($J$4="Twice")*(COUNTIF($C$8:$D$8,"1-3")+COUNTIF($E$9:$E$13,"3-1")))+(COUNTIF($F$8:$J$8,"2-3")+COUNTIF($E$6:$E$7,"3-2")+($J$4="Twice")*(COUNTIF($C$8:$D$8,"2-3")+COUNTIF($E$9:$E$13,"3-2"))))</f>
      </c>
      <c r="P8">
        <f>IF($L8="","",(COUNTIF($F$8:$J$8,"0-3")+COUNTIF($E$6:$E$7,"3-0")+($J$4="Twice")*(COUNTIF($C$8:$D$8,"0-3")+COUNTIF($E$9:$E$13,"3-0"))))</f>
      </c>
      <c r="Q8">
        <f>IF($L8="","",(COUNTIF($F$8:$J$8,"Walkover won")+COUNTIF($E$6:$E$7,"Walkover lost")+($J$4="Twice")*(COUNTIF($C$8:$D$8,"Walkover won")+COUNTIF($E$9:$E$13,"Walkover lost"))))</f>
      </c>
      <c r="R8">
        <f>IF($L8="","",(COUNTIF($F$8:$J$8,"Walkover lost")+COUNTIF($E$6:$E$7,"Walkover won")+($J$4="Twice")*(COUNTIF($C$8:$D$8,"Walkover lost")+COUNTIF($E$9:$E$13,"Walkover won"))))</f>
      </c>
      <c r="S8">
        <f>IF($L8="","",3*(COUNTIF($F$8:$J$8,"3-*")+COUNTIF($E$6:$E$7,"?-3")+($J$4="Twice")*(COUNTIF($C$8:$D$8,"3-*")+COUNTIF($E$9:$E$13,"?-3")))+1*(COUNTIF($F$8:$J$8,"1-3")+COUNTIF($E$6:$E$7,"3-1")+($J$4="Twice")*(COUNTIF($C$8:$D$8,"1-3")+COUNTIF($E$9:$E$13,"3-1")))+2*(COUNTIF($F$8:$J$8,"2-3")+COUNTIF($E$6:$E$7,"3-2")+($J$4="Twice")*(COUNTIF($C$8:$D$8,"2-3")+COUNTIF($E$9:$E$13,"3-2")))+3*$Q8)</f>
      </c>
      <c r="T8">
        <f>IF($L8="","",1*(COUNTIF($F$8:$J$8,"3-1")+COUNTIF($E$6:$E$7,"1-3")+($J$4="Twice")*(COUNTIF($C$8:$D$8,"3-1")+COUNTIF($E$9:$E$13,"1-3")))+2*(COUNTIF($F$8:$J$8,"3-2")+COUNTIF($E$6:$E$7,"2-3")+($J$4="Twice")*(COUNTIF($C$8:$D$8,"3-2")+COUNTIF($E$9:$E$13,"2-3")))+3*(COUNTIF($F$8:$J$8,"?-3")+COUNTIF($E$6:$E$7,"3-*")+($J$4="Twice")*(COUNTIF($C$8:$D$8,"?-3")+COUNTIF($E$9:$E$13,"3-*")))+3*$R8)</f>
      </c>
      <c r="U8">
        <f>IF($L8="","",$N8*Settings!$C$5+$O8*Settings!$C$6+$P8*Settings!$C$7+$R8*Settings!$C$8)</f>
      </c>
      <c r="V8">
        <f>IF($L8="","",IF(AND($L$6&lt;&gt;"",$U$6=$U8),OR(RIGHT(E6,1)="3",E6="Walkover lost")*1+($J$4="Twice")*OR(LEFT(C8,1)="3",C8="Walkover won"),0)+IF(AND($L$7&lt;&gt;"",$U$7=$U8),OR(RIGHT(E7,1)="3",E7="Walkover lost")*1+($J$4="Twice")*OR(LEFT(D8,1)="3",D8="Walkover won"),0)+IF(AND($L$9&lt;&gt;"",$U$9=$U8),OR(LEFT(F8,1)="3",F8="Walkover won")*1+($J$4="Twice")*OR(RIGHT(E9,1)="3",E9="Walkover lost"),0)+IF(AND($L$10&lt;&gt;"",$U$10=$U8),OR(LEFT(G8,1)="3",G8="Walkover won")*1+($J$4="Twice")*OR(RIGHT(E10,1)="3",E10="Walkover lost"),0)+IF(AND($L$11&lt;&gt;"",$U$11=$U8),OR(LEFT(H8,1)="3",H8="Walkover won")*1+($J$4="Twice")*OR(RIGHT(E11,1)="3",E11="Walkover lost"),0)+IF(AND($L$12&lt;&gt;"",$U$12=$U8),OR(LEFT(I8,1)="3",I8="Walkover won")*1+($J$4="Twice")*OR(RIGHT(E12,1)="3",E12="Walkover lost"),0)+IF(AND($L$13&lt;&gt;"",$U$13=$U8),OR(LEFT(J8,1)="3",J8="Walkover won")*1+($J$4="Twice")*OR(RIGHT(E13,1)="3",E13="Walkover lost"),0))</f>
      </c>
      <c r="W8">
        <f>IF($L8="","",$U8*10000+$V8*1000+($S8-$T8+50)*10+6)</f>
      </c>
      <c r="X8">
        <f>IF($L8="","",1+COUNTIF($W$6:$W$13,"&gt;"&amp;$W8))</f>
      </c>
      <c r="Y8">
        <f>IF($L8="","",(COUNTIF($L$6:$L$13,"?*")-1)*(1+($J$4="Twice"))-$M8)</f>
      </c>
      <c r="Z8">
        <f>IF($L8="","",$O8+$P8+$R8)</f>
      </c>
      <c r="AA8">
        <f>IF(($J$4="Twice"),"3-2","")</f>
      </c>
    </row>
    <row r="9" ht="22" customHeight="1">
      <c r="A9" s="9">
        <v>4</v>
      </c>
      <c r="B9" s="10"/>
      <c r="C9" s="13">
        <f>IF(($J$4="Twice"),"",IF(F6="3-0","0-3",IF(F6="3-1","1-3",IF(F6="3-2","2-3",IF(F6="2-3","3-2",IF(F6="1-3","3-1",IF(F6="0-3","3-0",IF(F6="Walkover won","Walkover lost",IF(F6="Walkover lost","Walkover won","")))))))))</f>
      </c>
      <c r="D9" s="13">
        <f>IF(($J$4="Twice"),"",IF(F7="3-0","0-3",IF(F7="3-1","1-3",IF(F7="3-2","2-3",IF(F7="2-3","3-2",IF(F7="1-3","3-1",IF(F7="0-3","3-0",IF(F7="Walkover won","Walkover lost",IF(F7="Walkover lost","Walkover won","")))))))))</f>
      </c>
      <c r="E9" s="13">
        <f>IF(($J$4="Twice"),"",IF(F8="3-0","0-3",IF(F8="3-1","1-3",IF(F8="3-2","2-3",IF(F8="2-3","3-2",IF(F8="1-3","3-1",IF(F8="0-3","3-0",IF(F8="Walkover won","Walkover lost",IF(F8="Walkover lost","Walkover won","")))))))))</f>
      </c>
      <c r="F9" s="14"/>
      <c r="G9" s="12"/>
      <c r="H9" s="12"/>
      <c r="I9" s="12"/>
      <c r="J9" s="12"/>
      <c r="L9">
        <f>IF($B9="","",$B9)</f>
      </c>
      <c r="M9">
        <f>IF($L9="","",(COUNTIF($G$9:$J$9,"?*")+COUNTIF($F$6:$F$8,"?*")+($J$4="Twice")*(COUNTIF($C$9:$E$9,"?*")+COUNTIF($F$10:$F$13,"?*"))))</f>
      </c>
      <c r="N9">
        <f>IF($L9="","",(COUNTIF($G$9:$J$9,"3-*")+COUNTIF($F$6:$F$8,"?-3")+($J$4="Twice")*(COUNTIF($C$9:$E$9,"3-*")+COUNTIF($F$10:$F$13,"?-3")))+(COUNTIF($G$9:$J$9,"Walkover won")+COUNTIF($F$6:$F$8,"Walkover lost")+($J$4="Twice")*(COUNTIF($C$9:$E$9,"Walkover won")+COUNTIF($F$10:$F$13,"Walkover lost"))))</f>
      </c>
      <c r="O9">
        <f>IF($L9="","",(COUNTIF($G$9:$J$9,"1-3")+COUNTIF($F$6:$F$8,"3-1")+($J$4="Twice")*(COUNTIF($C$9:$E$9,"1-3")+COUNTIF($F$10:$F$13,"3-1")))+(COUNTIF($G$9:$J$9,"2-3")+COUNTIF($F$6:$F$8,"3-2")+($J$4="Twice")*(COUNTIF($C$9:$E$9,"2-3")+COUNTIF($F$10:$F$13,"3-2"))))</f>
      </c>
      <c r="P9">
        <f>IF($L9="","",(COUNTIF($G$9:$J$9,"0-3")+COUNTIF($F$6:$F$8,"3-0")+($J$4="Twice")*(COUNTIF($C$9:$E$9,"0-3")+COUNTIF($F$10:$F$13,"3-0"))))</f>
      </c>
      <c r="Q9">
        <f>IF($L9="","",(COUNTIF($G$9:$J$9,"Walkover won")+COUNTIF($F$6:$F$8,"Walkover lost")+($J$4="Twice")*(COUNTIF($C$9:$E$9,"Walkover won")+COUNTIF($F$10:$F$13,"Walkover lost"))))</f>
      </c>
      <c r="R9">
        <f>IF($L9="","",(COUNTIF($G$9:$J$9,"Walkover lost")+COUNTIF($F$6:$F$8,"Walkover won")+($J$4="Twice")*(COUNTIF($C$9:$E$9,"Walkover lost")+COUNTIF($F$10:$F$13,"Walkover won"))))</f>
      </c>
      <c r="S9">
        <f>IF($L9="","",3*(COUNTIF($G$9:$J$9,"3-*")+COUNTIF($F$6:$F$8,"?-3")+($J$4="Twice")*(COUNTIF($C$9:$E$9,"3-*")+COUNTIF($F$10:$F$13,"?-3")))+1*(COUNTIF($G$9:$J$9,"1-3")+COUNTIF($F$6:$F$8,"3-1")+($J$4="Twice")*(COUNTIF($C$9:$E$9,"1-3")+COUNTIF($F$10:$F$13,"3-1")))+2*(COUNTIF($G$9:$J$9,"2-3")+COUNTIF($F$6:$F$8,"3-2")+($J$4="Twice")*(COUNTIF($C$9:$E$9,"2-3")+COUNTIF($F$10:$F$13,"3-2")))+3*$Q9)</f>
      </c>
      <c r="T9">
        <f>IF($L9="","",1*(COUNTIF($G$9:$J$9,"3-1")+COUNTIF($F$6:$F$8,"1-3")+($J$4="Twice")*(COUNTIF($C$9:$E$9,"3-1")+COUNTIF($F$10:$F$13,"1-3")))+2*(COUNTIF($G$9:$J$9,"3-2")+COUNTIF($F$6:$F$8,"2-3")+($J$4="Twice")*(COUNTIF($C$9:$E$9,"3-2")+COUNTIF($F$10:$F$13,"2-3")))+3*(COUNTIF($G$9:$J$9,"?-3")+COUNTIF($F$6:$F$8,"3-*")+($J$4="Twice")*(COUNTIF($C$9:$E$9,"?-3")+COUNTIF($F$10:$F$13,"3-*")))+3*$R9)</f>
      </c>
      <c r="U9">
        <f>IF($L9="","",$N9*Settings!$C$5+$O9*Settings!$C$6+$P9*Settings!$C$7+$R9*Settings!$C$8)</f>
      </c>
      <c r="V9">
        <f>IF($L9="","",IF(AND($L$6&lt;&gt;"",$U$6=$U9),OR(RIGHT(F6,1)="3",F6="Walkover lost")*1+($J$4="Twice")*OR(LEFT(C9,1)="3",C9="Walkover won"),0)+IF(AND($L$7&lt;&gt;"",$U$7=$U9),OR(RIGHT(F7,1)="3",F7="Walkover lost")*1+($J$4="Twice")*OR(LEFT(D9,1)="3",D9="Walkover won"),0)+IF(AND($L$8&lt;&gt;"",$U$8=$U9),OR(RIGHT(F8,1)="3",F8="Walkover lost")*1+($J$4="Twice")*OR(LEFT(E9,1)="3",E9="Walkover won"),0)+IF(AND($L$10&lt;&gt;"",$U$10=$U9),OR(LEFT(G9,1)="3",G9="Walkover won")*1+($J$4="Twice")*OR(RIGHT(F10,1)="3",F10="Walkover lost"),0)+IF(AND($L$11&lt;&gt;"",$U$11=$U9),OR(LEFT(H9,1)="3",H9="Walkover won")*1+($J$4="Twice")*OR(RIGHT(F11,1)="3",F11="Walkover lost"),0)+IF(AND($L$12&lt;&gt;"",$U$12=$U9),OR(LEFT(I9,1)="3",I9="Walkover won")*1+($J$4="Twice")*OR(RIGHT(F12,1)="3",F12="Walkover lost"),0)+IF(AND($L$13&lt;&gt;"",$U$13=$U9),OR(LEFT(J9,1)="3",J9="Walkover won")*1+($J$4="Twice")*OR(RIGHT(F13,1)="3",F13="Walkover lost"),0))</f>
      </c>
      <c r="W9">
        <f>IF($L9="","",$U9*10000+$V9*1000+($S9-$T9+50)*10+5)</f>
      </c>
      <c r="X9">
        <f>IF($L9="","",1+COUNTIF($W$6:$W$13,"&gt;"&amp;$W9))</f>
      </c>
      <c r="Y9">
        <f>IF($L9="","",(COUNTIF($L$6:$L$13,"?*")-1)*(1+($J$4="Twice"))-$M9)</f>
      </c>
      <c r="Z9">
        <f>IF($L9="","",$O9+$P9+$R9)</f>
      </c>
      <c r="AA9">
        <f>IF(($J$4="Twice"),"2-3","")</f>
      </c>
    </row>
    <row r="10" ht="22" customHeight="1">
      <c r="A10" s="9">
        <v>5</v>
      </c>
      <c r="B10" s="10"/>
      <c r="C10" s="13">
        <f>IF(($J$4="Twice"),"",IF(G6="3-0","0-3",IF(G6="3-1","1-3",IF(G6="3-2","2-3",IF(G6="2-3","3-2",IF(G6="1-3","3-1",IF(G6="0-3","3-0",IF(G6="Walkover won","Walkover lost",IF(G6="Walkover lost","Walkover won","")))))))))</f>
      </c>
      <c r="D10" s="13">
        <f>IF(($J$4="Twice"),"",IF(G7="3-0","0-3",IF(G7="3-1","1-3",IF(G7="3-2","2-3",IF(G7="2-3","3-2",IF(G7="1-3","3-1",IF(G7="0-3","3-0",IF(G7="Walkover won","Walkover lost",IF(G7="Walkover lost","Walkover won","")))))))))</f>
      </c>
      <c r="E10" s="13">
        <f>IF(($J$4="Twice"),"",IF(G8="3-0","0-3",IF(G8="3-1","1-3",IF(G8="3-2","2-3",IF(G8="2-3","3-2",IF(G8="1-3","3-1",IF(G8="0-3","3-0",IF(G8="Walkover won","Walkover lost",IF(G8="Walkover lost","Walkover won","")))))))))</f>
      </c>
      <c r="F10" s="13">
        <f>IF(($J$4="Twice"),"",IF(G9="3-0","0-3",IF(G9="3-1","1-3",IF(G9="3-2","2-3",IF(G9="2-3","3-2",IF(G9="1-3","3-1",IF(G9="0-3","3-0",IF(G9="Walkover won","Walkover lost",IF(G9="Walkover lost","Walkover won","")))))))))</f>
      </c>
      <c r="G10" s="14"/>
      <c r="H10" s="12"/>
      <c r="I10" s="12"/>
      <c r="J10" s="12"/>
      <c r="L10">
        <f>IF($B10="","",$B10)</f>
      </c>
      <c r="M10">
        <f>IF($L10="","",(COUNTIF($H$10:$J$10,"?*")+COUNTIF($G$6:$G$9,"?*")+($J$4="Twice")*(COUNTIF($C$10:$F$10,"?*")+COUNTIF($G$11:$G$13,"?*"))))</f>
      </c>
      <c r="N10">
        <f>IF($L10="","",(COUNTIF($H$10:$J$10,"3-*")+COUNTIF($G$6:$G$9,"?-3")+($J$4="Twice")*(COUNTIF($C$10:$F$10,"3-*")+COUNTIF($G$11:$G$13,"?-3")))+(COUNTIF($H$10:$J$10,"Walkover won")+COUNTIF($G$6:$G$9,"Walkover lost")+($J$4="Twice")*(COUNTIF($C$10:$F$10,"Walkover won")+COUNTIF($G$11:$G$13,"Walkover lost"))))</f>
      </c>
      <c r="O10">
        <f>IF($L10="","",(COUNTIF($H$10:$J$10,"1-3")+COUNTIF($G$6:$G$9,"3-1")+($J$4="Twice")*(COUNTIF($C$10:$F$10,"1-3")+COUNTIF($G$11:$G$13,"3-1")))+(COUNTIF($H$10:$J$10,"2-3")+COUNTIF($G$6:$G$9,"3-2")+($J$4="Twice")*(COUNTIF($C$10:$F$10,"2-3")+COUNTIF($G$11:$G$13,"3-2"))))</f>
      </c>
      <c r="P10">
        <f>IF($L10="","",(COUNTIF($H$10:$J$10,"0-3")+COUNTIF($G$6:$G$9,"3-0")+($J$4="Twice")*(COUNTIF($C$10:$F$10,"0-3")+COUNTIF($G$11:$G$13,"3-0"))))</f>
      </c>
      <c r="Q10">
        <f>IF($L10="","",(COUNTIF($H$10:$J$10,"Walkover won")+COUNTIF($G$6:$G$9,"Walkover lost")+($J$4="Twice")*(COUNTIF($C$10:$F$10,"Walkover won")+COUNTIF($G$11:$G$13,"Walkover lost"))))</f>
      </c>
      <c r="R10">
        <f>IF($L10="","",(COUNTIF($H$10:$J$10,"Walkover lost")+COUNTIF($G$6:$G$9,"Walkover won")+($J$4="Twice")*(COUNTIF($C$10:$F$10,"Walkover lost")+COUNTIF($G$11:$G$13,"Walkover won"))))</f>
      </c>
      <c r="S10">
        <f>IF($L10="","",3*(COUNTIF($H$10:$J$10,"3-*")+COUNTIF($G$6:$G$9,"?-3")+($J$4="Twice")*(COUNTIF($C$10:$F$10,"3-*")+COUNTIF($G$11:$G$13,"?-3")))+1*(COUNTIF($H$10:$J$10,"1-3")+COUNTIF($G$6:$G$9,"3-1")+($J$4="Twice")*(COUNTIF($C$10:$F$10,"1-3")+COUNTIF($G$11:$G$13,"3-1")))+2*(COUNTIF($H$10:$J$10,"2-3")+COUNTIF($G$6:$G$9,"3-2")+($J$4="Twice")*(COUNTIF($C$10:$F$10,"2-3")+COUNTIF($G$11:$G$13,"3-2")))+3*$Q10)</f>
      </c>
      <c r="T10">
        <f>IF($L10="","",1*(COUNTIF($H$10:$J$10,"3-1")+COUNTIF($G$6:$G$9,"1-3")+($J$4="Twice")*(COUNTIF($C$10:$F$10,"3-1")+COUNTIF($G$11:$G$13,"1-3")))+2*(COUNTIF($H$10:$J$10,"3-2")+COUNTIF($G$6:$G$9,"2-3")+($J$4="Twice")*(COUNTIF($C$10:$F$10,"3-2")+COUNTIF($G$11:$G$13,"2-3")))+3*(COUNTIF($H$10:$J$10,"?-3")+COUNTIF($G$6:$G$9,"3-*")+($J$4="Twice")*(COUNTIF($C$10:$F$10,"?-3")+COUNTIF($G$11:$G$13,"3-*")))+3*$R10)</f>
      </c>
      <c r="U10">
        <f>IF($L10="","",$N10*Settings!$C$5+$O10*Settings!$C$6+$P10*Settings!$C$7+$R10*Settings!$C$8)</f>
      </c>
      <c r="V10">
        <f>IF($L10="","",IF(AND($L$6&lt;&gt;"",$U$6=$U10),OR(RIGHT(G6,1)="3",G6="Walkover lost")*1+($J$4="Twice")*OR(LEFT(C10,1)="3",C10="Walkover won"),0)+IF(AND($L$7&lt;&gt;"",$U$7=$U10),OR(RIGHT(G7,1)="3",G7="Walkover lost")*1+($J$4="Twice")*OR(LEFT(D10,1)="3",D10="Walkover won"),0)+IF(AND($L$8&lt;&gt;"",$U$8=$U10),OR(RIGHT(G8,1)="3",G8="Walkover lost")*1+($J$4="Twice")*OR(LEFT(E10,1)="3",E10="Walkover won"),0)+IF(AND($L$9&lt;&gt;"",$U$9=$U10),OR(RIGHT(G9,1)="3",G9="Walkover lost")*1+($J$4="Twice")*OR(LEFT(F10,1)="3",F10="Walkover won"),0)+IF(AND($L$11&lt;&gt;"",$U$11=$U10),OR(LEFT(H10,1)="3",H10="Walkover won")*1+($J$4="Twice")*OR(RIGHT(G11,1)="3",G11="Walkover lost"),0)+IF(AND($L$12&lt;&gt;"",$U$12=$U10),OR(LEFT(I10,1)="3",I10="Walkover won")*1+($J$4="Twice")*OR(RIGHT(G12,1)="3",G12="Walkover lost"),0)+IF(AND($L$13&lt;&gt;"",$U$13=$U10),OR(LEFT(J10,1)="3",J10="Walkover won")*1+($J$4="Twice")*OR(RIGHT(G13,1)="3",G13="Walkover lost"),0))</f>
      </c>
      <c r="W10">
        <f>IF($L10="","",$U10*10000+$V10*1000+($S10-$T10+50)*10+4)</f>
      </c>
      <c r="X10">
        <f>IF($L10="","",1+COUNTIF($W$6:$W$13,"&gt;"&amp;$W10))</f>
      </c>
      <c r="Y10">
        <f>IF($L10="","",(COUNTIF($L$6:$L$13,"?*")-1)*(1+($J$4="Twice"))-$M10)</f>
      </c>
      <c r="Z10">
        <f>IF($L10="","",$O10+$P10+$R10)</f>
      </c>
      <c r="AA10">
        <f>IF(($J$4="Twice"),"1-3","")</f>
      </c>
    </row>
    <row r="11" ht="22" customHeight="1">
      <c r="A11" s="9">
        <v>6</v>
      </c>
      <c r="B11" s="10"/>
      <c r="C11" s="13">
        <f>IF(($J$4="Twice"),"",IF(H6="3-0","0-3",IF(H6="3-1","1-3",IF(H6="3-2","2-3",IF(H6="2-3","3-2",IF(H6="1-3","3-1",IF(H6="0-3","3-0",IF(H6="Walkover won","Walkover lost",IF(H6="Walkover lost","Walkover won","")))))))))</f>
      </c>
      <c r="D11" s="13">
        <f>IF(($J$4="Twice"),"",IF(H7="3-0","0-3",IF(H7="3-1","1-3",IF(H7="3-2","2-3",IF(H7="2-3","3-2",IF(H7="1-3","3-1",IF(H7="0-3","3-0",IF(H7="Walkover won","Walkover lost",IF(H7="Walkover lost","Walkover won","")))))))))</f>
      </c>
      <c r="E11" s="13">
        <f>IF(($J$4="Twice"),"",IF(H8="3-0","0-3",IF(H8="3-1","1-3",IF(H8="3-2","2-3",IF(H8="2-3","3-2",IF(H8="1-3","3-1",IF(H8="0-3","3-0",IF(H8="Walkover won","Walkover lost",IF(H8="Walkover lost","Walkover won","")))))))))</f>
      </c>
      <c r="F11" s="13">
        <f>IF(($J$4="Twice"),"",IF(H9="3-0","0-3",IF(H9="3-1","1-3",IF(H9="3-2","2-3",IF(H9="2-3","3-2",IF(H9="1-3","3-1",IF(H9="0-3","3-0",IF(H9="Walkover won","Walkover lost",IF(H9="Walkover lost","Walkover won","")))))))))</f>
      </c>
      <c r="G11" s="13">
        <f>IF(($J$4="Twice"),"",IF(H10="3-0","0-3",IF(H10="3-1","1-3",IF(H10="3-2","2-3",IF(H10="2-3","3-2",IF(H10="1-3","3-1",IF(H10="0-3","3-0",IF(H10="Walkover won","Walkover lost",IF(H10="Walkover lost","Walkover won","")))))))))</f>
      </c>
      <c r="H11" s="14"/>
      <c r="I11" s="12"/>
      <c r="J11" s="12"/>
      <c r="L11">
        <f>IF($B11="","",$B11)</f>
      </c>
      <c r="M11">
        <f>IF($L11="","",(COUNTIF($I$11:$J$11,"?*")+COUNTIF($H$6:$H$10,"?*")+($J$4="Twice")*(COUNTIF($C$11:$G$11,"?*")+COUNTIF($H$12:$H$13,"?*"))))</f>
      </c>
      <c r="N11">
        <f>IF($L11="","",(COUNTIF($I$11:$J$11,"3-*")+COUNTIF($H$6:$H$10,"?-3")+($J$4="Twice")*(COUNTIF($C$11:$G$11,"3-*")+COUNTIF($H$12:$H$13,"?-3")))+(COUNTIF($I$11:$J$11,"Walkover won")+COUNTIF($H$6:$H$10,"Walkover lost")+($J$4="Twice")*(COUNTIF($C$11:$G$11,"Walkover won")+COUNTIF($H$12:$H$13,"Walkover lost"))))</f>
      </c>
      <c r="O11">
        <f>IF($L11="","",(COUNTIF($I$11:$J$11,"1-3")+COUNTIF($H$6:$H$10,"3-1")+($J$4="Twice")*(COUNTIF($C$11:$G$11,"1-3")+COUNTIF($H$12:$H$13,"3-1")))+(COUNTIF($I$11:$J$11,"2-3")+COUNTIF($H$6:$H$10,"3-2")+($J$4="Twice")*(COUNTIF($C$11:$G$11,"2-3")+COUNTIF($H$12:$H$13,"3-2"))))</f>
      </c>
      <c r="P11">
        <f>IF($L11="","",(COUNTIF($I$11:$J$11,"0-3")+COUNTIF($H$6:$H$10,"3-0")+($J$4="Twice")*(COUNTIF($C$11:$G$11,"0-3")+COUNTIF($H$12:$H$13,"3-0"))))</f>
      </c>
      <c r="Q11">
        <f>IF($L11="","",(COUNTIF($I$11:$J$11,"Walkover won")+COUNTIF($H$6:$H$10,"Walkover lost")+($J$4="Twice")*(COUNTIF($C$11:$G$11,"Walkover won")+COUNTIF($H$12:$H$13,"Walkover lost"))))</f>
      </c>
      <c r="R11">
        <f>IF($L11="","",(COUNTIF($I$11:$J$11,"Walkover lost")+COUNTIF($H$6:$H$10,"Walkover won")+($J$4="Twice")*(COUNTIF($C$11:$G$11,"Walkover lost")+COUNTIF($H$12:$H$13,"Walkover won"))))</f>
      </c>
      <c r="S11">
        <f>IF($L11="","",3*(COUNTIF($I$11:$J$11,"3-*")+COUNTIF($H$6:$H$10,"?-3")+($J$4="Twice")*(COUNTIF($C$11:$G$11,"3-*")+COUNTIF($H$12:$H$13,"?-3")))+1*(COUNTIF($I$11:$J$11,"1-3")+COUNTIF($H$6:$H$10,"3-1")+($J$4="Twice")*(COUNTIF($C$11:$G$11,"1-3")+COUNTIF($H$12:$H$13,"3-1")))+2*(COUNTIF($I$11:$J$11,"2-3")+COUNTIF($H$6:$H$10,"3-2")+($J$4="Twice")*(COUNTIF($C$11:$G$11,"2-3")+COUNTIF($H$12:$H$13,"3-2")))+3*$Q11)</f>
      </c>
      <c r="T11">
        <f>IF($L11="","",1*(COUNTIF($I$11:$J$11,"3-1")+COUNTIF($H$6:$H$10,"1-3")+($J$4="Twice")*(COUNTIF($C$11:$G$11,"3-1")+COUNTIF($H$12:$H$13,"1-3")))+2*(COUNTIF($I$11:$J$11,"3-2")+COUNTIF($H$6:$H$10,"2-3")+($J$4="Twice")*(COUNTIF($C$11:$G$11,"3-2")+COUNTIF($H$12:$H$13,"2-3")))+3*(COUNTIF($I$11:$J$11,"?-3")+COUNTIF($H$6:$H$10,"3-*")+($J$4="Twice")*(COUNTIF($C$11:$G$11,"?-3")+COUNTIF($H$12:$H$13,"3-*")))+3*$R11)</f>
      </c>
      <c r="U11">
        <f>IF($L11="","",$N11*Settings!$C$5+$O11*Settings!$C$6+$P11*Settings!$C$7+$R11*Settings!$C$8)</f>
      </c>
      <c r="V11">
        <f>IF($L11="","",IF(AND($L$6&lt;&gt;"",$U$6=$U11),OR(RIGHT(H6,1)="3",H6="Walkover lost")*1+($J$4="Twice")*OR(LEFT(C11,1)="3",C11="Walkover won"),0)+IF(AND($L$7&lt;&gt;"",$U$7=$U11),OR(RIGHT(H7,1)="3",H7="Walkover lost")*1+($J$4="Twice")*OR(LEFT(D11,1)="3",D11="Walkover won"),0)+IF(AND($L$8&lt;&gt;"",$U$8=$U11),OR(RIGHT(H8,1)="3",H8="Walkover lost")*1+($J$4="Twice")*OR(LEFT(E11,1)="3",E11="Walkover won"),0)+IF(AND($L$9&lt;&gt;"",$U$9=$U11),OR(RIGHT(H9,1)="3",H9="Walkover lost")*1+($J$4="Twice")*OR(LEFT(F11,1)="3",F11="Walkover won"),0)+IF(AND($L$10&lt;&gt;"",$U$10=$U11),OR(RIGHT(H10,1)="3",H10="Walkover lost")*1+($J$4="Twice")*OR(LEFT(G11,1)="3",G11="Walkover won"),0)+IF(AND($L$12&lt;&gt;"",$U$12=$U11),OR(LEFT(I11,1)="3",I11="Walkover won")*1+($J$4="Twice")*OR(RIGHT(H12,1)="3",H12="Walkover lost"),0)+IF(AND($L$13&lt;&gt;"",$U$13=$U11),OR(LEFT(J11,1)="3",J11="Walkover won")*1+($J$4="Twice")*OR(RIGHT(H13,1)="3",H13="Walkover lost"),0))</f>
      </c>
      <c r="W11">
        <f>IF($L11="","",$U11*10000+$V11*1000+($S11-$T11+50)*10+3)</f>
      </c>
      <c r="X11">
        <f>IF($L11="","",1+COUNTIF($W$6:$W$13,"&gt;"&amp;$W11))</f>
      </c>
      <c r="Y11">
        <f>IF($L11="","",(COUNTIF($L$6:$L$13,"?*")-1)*(1+($J$4="Twice"))-$M11)</f>
      </c>
      <c r="Z11">
        <f>IF($L11="","",$O11+$P11+$R11)</f>
      </c>
      <c r="AA11">
        <f>IF(($J$4="Twice"),"0-3","")</f>
      </c>
    </row>
    <row r="12" ht="22" customHeight="1">
      <c r="A12" s="9">
        <v>7</v>
      </c>
      <c r="B12" s="10"/>
      <c r="C12" s="13">
        <f>IF(($J$4="Twice"),"",IF(I6="3-0","0-3",IF(I6="3-1","1-3",IF(I6="3-2","2-3",IF(I6="2-3","3-2",IF(I6="1-3","3-1",IF(I6="0-3","3-0",IF(I6="Walkover won","Walkover lost",IF(I6="Walkover lost","Walkover won","")))))))))</f>
      </c>
      <c r="D12" s="13">
        <f>IF(($J$4="Twice"),"",IF(I7="3-0","0-3",IF(I7="3-1","1-3",IF(I7="3-2","2-3",IF(I7="2-3","3-2",IF(I7="1-3","3-1",IF(I7="0-3","3-0",IF(I7="Walkover won","Walkover lost",IF(I7="Walkover lost","Walkover won","")))))))))</f>
      </c>
      <c r="E12" s="13">
        <f>IF(($J$4="Twice"),"",IF(I8="3-0","0-3",IF(I8="3-1","1-3",IF(I8="3-2","2-3",IF(I8="2-3","3-2",IF(I8="1-3","3-1",IF(I8="0-3","3-0",IF(I8="Walkover won","Walkover lost",IF(I8="Walkover lost","Walkover won","")))))))))</f>
      </c>
      <c r="F12" s="13">
        <f>IF(($J$4="Twice"),"",IF(I9="3-0","0-3",IF(I9="3-1","1-3",IF(I9="3-2","2-3",IF(I9="2-3","3-2",IF(I9="1-3","3-1",IF(I9="0-3","3-0",IF(I9="Walkover won","Walkover lost",IF(I9="Walkover lost","Walkover won","")))))))))</f>
      </c>
      <c r="G12" s="13">
        <f>IF(($J$4="Twice"),"",IF(I10="3-0","0-3",IF(I10="3-1","1-3",IF(I10="3-2","2-3",IF(I10="2-3","3-2",IF(I10="1-3","3-1",IF(I10="0-3","3-0",IF(I10="Walkover won","Walkover lost",IF(I10="Walkover lost","Walkover won","")))))))))</f>
      </c>
      <c r="H12" s="13">
        <f>IF(($J$4="Twice"),"",IF(I11="3-0","0-3",IF(I11="3-1","1-3",IF(I11="3-2","2-3",IF(I11="2-3","3-2",IF(I11="1-3","3-1",IF(I11="0-3","3-0",IF(I11="Walkover won","Walkover lost",IF(I11="Walkover lost","Walkover won","")))))))))</f>
      </c>
      <c r="I12" s="14"/>
      <c r="J12" s="12"/>
      <c r="L12">
        <f>IF($B12="","",$B12)</f>
      </c>
      <c r="M12">
        <f>IF($L12="","",(COUNTIF($J$12:$J$12,"?*")+COUNTIF($I$6:$I$11,"?*")+($J$4="Twice")*(COUNTIF($C$12:$H$12,"?*")+COUNTIF($I$13:$I$13,"?*"))))</f>
      </c>
      <c r="N12">
        <f>IF($L12="","",(COUNTIF($J$12:$J$12,"3-*")+COUNTIF($I$6:$I$11,"?-3")+($J$4="Twice")*(COUNTIF($C$12:$H$12,"3-*")+COUNTIF($I$13:$I$13,"?-3")))+(COUNTIF($J$12:$J$12,"Walkover won")+COUNTIF($I$6:$I$11,"Walkover lost")+($J$4="Twice")*(COUNTIF($C$12:$H$12,"Walkover won")+COUNTIF($I$13:$I$13,"Walkover lost"))))</f>
      </c>
      <c r="O12">
        <f>IF($L12="","",(COUNTIF($J$12:$J$12,"1-3")+COUNTIF($I$6:$I$11,"3-1")+($J$4="Twice")*(COUNTIF($C$12:$H$12,"1-3")+COUNTIF($I$13:$I$13,"3-1")))+(COUNTIF($J$12:$J$12,"2-3")+COUNTIF($I$6:$I$11,"3-2")+($J$4="Twice")*(COUNTIF($C$12:$H$12,"2-3")+COUNTIF($I$13:$I$13,"3-2"))))</f>
      </c>
      <c r="P12">
        <f>IF($L12="","",(COUNTIF($J$12:$J$12,"0-3")+COUNTIF($I$6:$I$11,"3-0")+($J$4="Twice")*(COUNTIF($C$12:$H$12,"0-3")+COUNTIF($I$13:$I$13,"3-0"))))</f>
      </c>
      <c r="Q12">
        <f>IF($L12="","",(COUNTIF($J$12:$J$12,"Walkover won")+COUNTIF($I$6:$I$11,"Walkover lost")+($J$4="Twice")*(COUNTIF($C$12:$H$12,"Walkover won")+COUNTIF($I$13:$I$13,"Walkover lost"))))</f>
      </c>
      <c r="R12">
        <f>IF($L12="","",(COUNTIF($J$12:$J$12,"Walkover lost")+COUNTIF($I$6:$I$11,"Walkover won")+($J$4="Twice")*(COUNTIF($C$12:$H$12,"Walkover lost")+COUNTIF($I$13:$I$13,"Walkover won"))))</f>
      </c>
      <c r="S12">
        <f>IF($L12="","",3*(COUNTIF($J$12:$J$12,"3-*")+COUNTIF($I$6:$I$11,"?-3")+($J$4="Twice")*(COUNTIF($C$12:$H$12,"3-*")+COUNTIF($I$13:$I$13,"?-3")))+1*(COUNTIF($J$12:$J$12,"1-3")+COUNTIF($I$6:$I$11,"3-1")+($J$4="Twice")*(COUNTIF($C$12:$H$12,"1-3")+COUNTIF($I$13:$I$13,"3-1")))+2*(COUNTIF($J$12:$J$12,"2-3")+COUNTIF($I$6:$I$11,"3-2")+($J$4="Twice")*(COUNTIF($C$12:$H$12,"2-3")+COUNTIF($I$13:$I$13,"3-2")))+3*$Q12)</f>
      </c>
      <c r="T12">
        <f>IF($L12="","",1*(COUNTIF($J$12:$J$12,"3-1")+COUNTIF($I$6:$I$11,"1-3")+($J$4="Twice")*(COUNTIF($C$12:$H$12,"3-1")+COUNTIF($I$13:$I$13,"1-3")))+2*(COUNTIF($J$12:$J$12,"3-2")+COUNTIF($I$6:$I$11,"2-3")+($J$4="Twice")*(COUNTIF($C$12:$H$12,"3-2")+COUNTIF($I$13:$I$13,"2-3")))+3*(COUNTIF($J$12:$J$12,"?-3")+COUNTIF($I$6:$I$11,"3-*")+($J$4="Twice")*(COUNTIF($C$12:$H$12,"?-3")+COUNTIF($I$13:$I$13,"3-*")))+3*$R12)</f>
      </c>
      <c r="U12">
        <f>IF($L12="","",$N12*Settings!$C$5+$O12*Settings!$C$6+$P12*Settings!$C$7+$R12*Settings!$C$8)</f>
      </c>
      <c r="V12">
        <f>IF($L12="","",IF(AND($L$6&lt;&gt;"",$U$6=$U12),OR(RIGHT(I6,1)="3",I6="Walkover lost")*1+($J$4="Twice")*OR(LEFT(C12,1)="3",C12="Walkover won"),0)+IF(AND($L$7&lt;&gt;"",$U$7=$U12),OR(RIGHT(I7,1)="3",I7="Walkover lost")*1+($J$4="Twice")*OR(LEFT(D12,1)="3",D12="Walkover won"),0)+IF(AND($L$8&lt;&gt;"",$U$8=$U12),OR(RIGHT(I8,1)="3",I8="Walkover lost")*1+($J$4="Twice")*OR(LEFT(E12,1)="3",E12="Walkover won"),0)+IF(AND($L$9&lt;&gt;"",$U$9=$U12),OR(RIGHT(I9,1)="3",I9="Walkover lost")*1+($J$4="Twice")*OR(LEFT(F12,1)="3",F12="Walkover won"),0)+IF(AND($L$10&lt;&gt;"",$U$10=$U12),OR(RIGHT(I10,1)="3",I10="Walkover lost")*1+($J$4="Twice")*OR(LEFT(G12,1)="3",G12="Walkover won"),0)+IF(AND($L$11&lt;&gt;"",$U$11=$U12),OR(RIGHT(I11,1)="3",I11="Walkover lost")*1+($J$4="Twice")*OR(LEFT(H12,1)="3",H12="Walkover won"),0)+IF(AND($L$13&lt;&gt;"",$U$13=$U12),OR(LEFT(J12,1)="3",J12="Walkover won")*1+($J$4="Twice")*OR(RIGHT(I13,1)="3",I13="Walkover lost"),0))</f>
      </c>
      <c r="W12">
        <f>IF($L12="","",$U12*10000+$V12*1000+($S12-$T12+50)*10+2)</f>
      </c>
      <c r="X12">
        <f>IF($L12="","",1+COUNTIF($W$6:$W$13,"&gt;"&amp;$W12))</f>
      </c>
      <c r="Y12">
        <f>IF($L12="","",(COUNTIF($L$6:$L$13,"?*")-1)*(1+($J$4="Twice"))-$M12)</f>
      </c>
      <c r="Z12">
        <f>IF($L12="","",$O12+$P12+$R12)</f>
      </c>
      <c r="AA12">
        <f>IF(($J$4="Twice"),"Walkover won","")</f>
      </c>
    </row>
    <row r="13" ht="22" customHeight="1">
      <c r="A13" s="9">
        <v>8</v>
      </c>
      <c r="B13" s="10"/>
      <c r="C13" s="13">
        <f>IF(($J$4="Twice"),"",IF(J6="3-0","0-3",IF(J6="3-1","1-3",IF(J6="3-2","2-3",IF(J6="2-3","3-2",IF(J6="1-3","3-1",IF(J6="0-3","3-0",IF(J6="Walkover won","Walkover lost",IF(J6="Walkover lost","Walkover won","")))))))))</f>
      </c>
      <c r="D13" s="13">
        <f>IF(($J$4="Twice"),"",IF(J7="3-0","0-3",IF(J7="3-1","1-3",IF(J7="3-2","2-3",IF(J7="2-3","3-2",IF(J7="1-3","3-1",IF(J7="0-3","3-0",IF(J7="Walkover won","Walkover lost",IF(J7="Walkover lost","Walkover won","")))))))))</f>
      </c>
      <c r="E13" s="13">
        <f>IF(($J$4="Twice"),"",IF(J8="3-0","0-3",IF(J8="3-1","1-3",IF(J8="3-2","2-3",IF(J8="2-3","3-2",IF(J8="1-3","3-1",IF(J8="0-3","3-0",IF(J8="Walkover won","Walkover lost",IF(J8="Walkover lost","Walkover won","")))))))))</f>
      </c>
      <c r="F13" s="13">
        <f>IF(($J$4="Twice"),"",IF(J9="3-0","0-3",IF(J9="3-1","1-3",IF(J9="3-2","2-3",IF(J9="2-3","3-2",IF(J9="1-3","3-1",IF(J9="0-3","3-0",IF(J9="Walkover won","Walkover lost",IF(J9="Walkover lost","Walkover won","")))))))))</f>
      </c>
      <c r="G13" s="13">
        <f>IF(($J$4="Twice"),"",IF(J10="3-0","0-3",IF(J10="3-1","1-3",IF(J10="3-2","2-3",IF(J10="2-3","3-2",IF(J10="1-3","3-1",IF(J10="0-3","3-0",IF(J10="Walkover won","Walkover lost",IF(J10="Walkover lost","Walkover won","")))))))))</f>
      </c>
      <c r="H13" s="13">
        <f>IF(($J$4="Twice"),"",IF(J11="3-0","0-3",IF(J11="3-1","1-3",IF(J11="3-2","2-3",IF(J11="2-3","3-2",IF(J11="1-3","3-1",IF(J11="0-3","3-0",IF(J11="Walkover won","Walkover lost",IF(J11="Walkover lost","Walkover won","")))))))))</f>
      </c>
      <c r="I13" s="13">
        <f>IF(($J$4="Twice"),"",IF(J12="3-0","0-3",IF(J12="3-1","1-3",IF(J12="3-2","2-3",IF(J12="2-3","3-2",IF(J12="1-3","3-1",IF(J12="0-3","3-0",IF(J12="Walkover won","Walkover lost",IF(J12="Walkover lost","Walkover won","")))))))))</f>
      </c>
      <c r="J13" s="14"/>
      <c r="L13">
        <f>IF($B13="","",$B13)</f>
      </c>
      <c r="M13">
        <f>IF($L13="","",(0+COUNTIF($J$6:$J$12,"?*")+($J$4="Twice")*(COUNTIF($C$13:$I$13,"?*")+0)))</f>
      </c>
      <c r="N13">
        <f>IF($L13="","",(0+COUNTIF($J$6:$J$12,"?-3")+($J$4="Twice")*(COUNTIF($C$13:$I$13,"3-*")+0))+(0+COUNTIF($J$6:$J$12,"Walkover lost")+($J$4="Twice")*(COUNTIF($C$13:$I$13,"Walkover won")+0)))</f>
      </c>
      <c r="O13">
        <f>IF($L13="","",(0+COUNTIF($J$6:$J$12,"3-1")+($J$4="Twice")*(COUNTIF($C$13:$I$13,"1-3")+0))+(0+COUNTIF($J$6:$J$12,"3-2")+($J$4="Twice")*(COUNTIF($C$13:$I$13,"2-3")+0)))</f>
      </c>
      <c r="P13">
        <f>IF($L13="","",(0+COUNTIF($J$6:$J$12,"3-0")+($J$4="Twice")*(COUNTIF($C$13:$I$13,"0-3")+0)))</f>
      </c>
      <c r="Q13">
        <f>IF($L13="","",(0+COUNTIF($J$6:$J$12,"Walkover lost")+($J$4="Twice")*(COUNTIF($C$13:$I$13,"Walkover won")+0)))</f>
      </c>
      <c r="R13">
        <f>IF($L13="","",(0+COUNTIF($J$6:$J$12,"Walkover won")+($J$4="Twice")*(COUNTIF($C$13:$I$13,"Walkover lost")+0)))</f>
      </c>
      <c r="S13">
        <f>IF($L13="","",3*(0+COUNTIF($J$6:$J$12,"?-3")+($J$4="Twice")*(COUNTIF($C$13:$I$13,"3-*")+0))+1*(0+COUNTIF($J$6:$J$12,"3-1")+($J$4="Twice")*(COUNTIF($C$13:$I$13,"1-3")+0))+2*(0+COUNTIF($J$6:$J$12,"3-2")+($J$4="Twice")*(COUNTIF($C$13:$I$13,"2-3")+0))+3*$Q13)</f>
      </c>
      <c r="T13">
        <f>IF($L13="","",1*(0+COUNTIF($J$6:$J$12,"1-3")+($J$4="Twice")*(COUNTIF($C$13:$I$13,"3-1")+0))+2*(0+COUNTIF($J$6:$J$12,"2-3")+($J$4="Twice")*(COUNTIF($C$13:$I$13,"3-2")+0))+3*(0+COUNTIF($J$6:$J$12,"3-*")+($J$4="Twice")*(COUNTIF($C$13:$I$13,"?-3")+0))+3*$R13)</f>
      </c>
      <c r="U13">
        <f>IF($L13="","",$N13*Settings!$C$5+$O13*Settings!$C$6+$P13*Settings!$C$7+$R13*Settings!$C$8)</f>
      </c>
      <c r="V13">
        <f>IF($L13="","",IF(AND($L$6&lt;&gt;"",$U$6=$U13),OR(RIGHT(J6,1)="3",J6="Walkover lost")*1+($J$4="Twice")*OR(LEFT(C13,1)="3",C13="Walkover won"),0)+IF(AND($L$7&lt;&gt;"",$U$7=$U13),OR(RIGHT(J7,1)="3",J7="Walkover lost")*1+($J$4="Twice")*OR(LEFT(D13,1)="3",D13="Walkover won"),0)+IF(AND($L$8&lt;&gt;"",$U$8=$U13),OR(RIGHT(J8,1)="3",J8="Walkover lost")*1+($J$4="Twice")*OR(LEFT(E13,1)="3",E13="Walkover won"),0)+IF(AND($L$9&lt;&gt;"",$U$9=$U13),OR(RIGHT(J9,1)="3",J9="Walkover lost")*1+($J$4="Twice")*OR(LEFT(F13,1)="3",F13="Walkover won"),0)+IF(AND($L$10&lt;&gt;"",$U$10=$U13),OR(RIGHT(J10,1)="3",J10="Walkover lost")*1+($J$4="Twice")*OR(LEFT(G13,1)="3",G13="Walkover won"),0)+IF(AND($L$11&lt;&gt;"",$U$11=$U13),OR(RIGHT(J11,1)="3",J11="Walkover lost")*1+($J$4="Twice")*OR(LEFT(H13,1)="3",H13="Walkover won"),0)+IF(AND($L$12&lt;&gt;"",$U$12=$U13),OR(RIGHT(J12,1)="3",J12="Walkover lost")*1+($J$4="Twice")*OR(LEFT(I13,1)="3",I13="Walkover won"),0))</f>
      </c>
      <c r="W13">
        <f>IF($L13="","",$U13*10000+$V13*1000+($S13-$T13+50)*10+1)</f>
      </c>
      <c r="X13">
        <f>IF($L13="","",1+COUNTIF($W$6:$W$13,"&gt;"&amp;$W13))</f>
      </c>
      <c r="Y13">
        <f>IF($L13="","",(COUNTIF($L$6:$L$13,"?*")-1)*(1+($J$4="Twice"))-$M13)</f>
      </c>
      <c r="Z13">
        <f>IF($L13="","",$O13+$P13+$R13)</f>
      </c>
      <c r="AA13">
        <f>IF(($J$4="Twice"),"Walkover lost","")</f>
      </c>
    </row>
    <row r="14" ht="30" customHeight="1">
      <c r="A14" s="6">
        <f>IF(($J$4="Twice"),"Playing twice: the first match goes above the dark diagonal and the second below it, both from the row player's side. Green is a win, amber a loss having won a game, red a loss.","Playing once: pick each result above the dark diagonal, from the row player's side, and the grey half below fills itself in. Green is a win, amber a loss having won a game, red a loss.")</f>
      </c>
    </row>
    <row r="15"/>
    <row r="16">
      <c r="A16" s="5" t="inlineStr">
        <is>
          <t xml:space="preserve">The table</t>
        </is>
      </c>
      <c r="B16" s="5"/>
      <c r="C16" s="5"/>
      <c r="D16" s="5"/>
      <c r="E16" s="5"/>
      <c r="F16" s="5"/>
      <c r="G16" s="5"/>
      <c r="H16" s="5"/>
      <c r="I16" s="5"/>
      <c r="J16" s="5"/>
    </row>
    <row r="17" ht="24" customHeight="1">
      <c r="A17" s="7" t="inlineStr">
        <is>
          <t xml:space="preserve">Place</t>
        </is>
      </c>
      <c r="B17" s="8" t="inlineStr">
        <is>
          <t xml:space="preserve">Player</t>
        </is>
      </c>
      <c r="C17" s="7" t="inlineStr">
        <is>
          <t xml:space="preserve">Played</t>
        </is>
      </c>
      <c r="D17" s="7" t="inlineStr">
        <is>
          <t xml:space="preserve">Won</t>
        </is>
      </c>
      <c r="E17" s="7" t="inlineStr">
        <is>
          <t xml:space="preserve">Lost</t>
        </is>
      </c>
      <c r="F17" s="7" t="inlineStr">
        <is>
          <t xml:space="preserve">Games</t>
        </is>
      </c>
      <c r="G17" s="7" t="inlineStr">
        <is>
          <t xml:space="preserve">Points</t>
        </is>
      </c>
      <c r="H17" s="7" t="inlineStr">
        <is>
          <t xml:space="preserve">Left</t>
        </is>
      </c>
      <c r="I17" s="7" t="inlineStr">
        <is>
          <t xml:space="preserve">Moves</t>
        </is>
      </c>
      <c r="J17" s="7"/>
    </row>
    <row r="18" ht="22" customHeight="1">
      <c r="A18" s="17">
        <f>IF(1&gt;COUNTIF($L$6:$L$13,"?*"),"",1)</f>
      </c>
      <c r="B18" s="16">
        <f>IF($A18="","",INDEX($L$6:$L$13,MATCH(1,$X$6:$X$13,0)))</f>
      </c>
      <c r="C18" s="15">
        <f>IF($A18="","",INDEX($M$6:$M$13,MATCH(1,$X$6:$X$13,0)))</f>
      </c>
      <c r="D18" s="15">
        <f>IF($A18="","",INDEX($N$6:$N$13,MATCH(1,$X$6:$X$13,0)))</f>
      </c>
      <c r="E18" s="15">
        <f>IF($A18="","",INDEX($Z$6:$Z$13,MATCH(1,$X$6:$X$13,0)))</f>
      </c>
      <c r="F18" s="15">
        <f>IF($A18="","",INDEX($S$6:$S$13,MATCH(1,$X$6:$X$13,0))&amp;"-"&amp;INDEX($T$6:$T$13,MATCH(1,$X$6:$X$13,0)))</f>
      </c>
      <c r="G18" s="18">
        <f>IF($A18="","",INDEX($U$6:$U$13,MATCH(1,$X$6:$X$13,0)))</f>
      </c>
      <c r="H18" s="15">
        <f>IF($A18="","",INDEX($Y$6:$Y$13,MATCH(1,$X$6:$X$13,0)))</f>
      </c>
      <c r="I18" s="15">
        <f>IF($A18="","",IF(AND($A18&lt;=Settings!$C$11,INDEX($M$6:$M$13,MATCH(1,$X$6:$X$13,0))&gt;=Settings!$C$13),"Up",IF(AND(2&lt;Settings!$C$14,$A18&gt;COUNTIF($L$6:$L$13,"?*")-Settings!$C$12),"Down","")))</f>
      </c>
      <c r="J18" s="15"/>
    </row>
    <row r="19" ht="22" customHeight="1">
      <c r="A19" s="17">
        <f>IF(2&gt;COUNTIF($L$6:$L$13,"?*"),"",2)</f>
      </c>
      <c r="B19" s="16">
        <f>IF($A19="","",INDEX($L$6:$L$13,MATCH(2,$X$6:$X$13,0)))</f>
      </c>
      <c r="C19" s="15">
        <f>IF($A19="","",INDEX($M$6:$M$13,MATCH(2,$X$6:$X$13,0)))</f>
      </c>
      <c r="D19" s="15">
        <f>IF($A19="","",INDEX($N$6:$N$13,MATCH(2,$X$6:$X$13,0)))</f>
      </c>
      <c r="E19" s="15">
        <f>IF($A19="","",INDEX($Z$6:$Z$13,MATCH(2,$X$6:$X$13,0)))</f>
      </c>
      <c r="F19" s="15">
        <f>IF($A19="","",INDEX($S$6:$S$13,MATCH(2,$X$6:$X$13,0))&amp;"-"&amp;INDEX($T$6:$T$13,MATCH(2,$X$6:$X$13,0)))</f>
      </c>
      <c r="G19" s="18">
        <f>IF($A19="","",INDEX($U$6:$U$13,MATCH(2,$X$6:$X$13,0)))</f>
      </c>
      <c r="H19" s="15">
        <f>IF($A19="","",INDEX($Y$6:$Y$13,MATCH(2,$X$6:$X$13,0)))</f>
      </c>
      <c r="I19" s="15">
        <f>IF($A19="","",IF(AND($A19&lt;=Settings!$C$11,INDEX($M$6:$M$13,MATCH(2,$X$6:$X$13,0))&gt;=Settings!$C$13),"Up",IF(AND(2&lt;Settings!$C$14,$A19&gt;COUNTIF($L$6:$L$13,"?*")-Settings!$C$12),"Down","")))</f>
      </c>
      <c r="J19" s="15"/>
    </row>
    <row r="20" ht="22" customHeight="1">
      <c r="A20" s="17">
        <f>IF(3&gt;COUNTIF($L$6:$L$13,"?*"),"",3)</f>
      </c>
      <c r="B20" s="16">
        <f>IF($A20="","",INDEX($L$6:$L$13,MATCH(3,$X$6:$X$13,0)))</f>
      </c>
      <c r="C20" s="15">
        <f>IF($A20="","",INDEX($M$6:$M$13,MATCH(3,$X$6:$X$13,0)))</f>
      </c>
      <c r="D20" s="15">
        <f>IF($A20="","",INDEX($N$6:$N$13,MATCH(3,$X$6:$X$13,0)))</f>
      </c>
      <c r="E20" s="15">
        <f>IF($A20="","",INDEX($Z$6:$Z$13,MATCH(3,$X$6:$X$13,0)))</f>
      </c>
      <c r="F20" s="15">
        <f>IF($A20="","",INDEX($S$6:$S$13,MATCH(3,$X$6:$X$13,0))&amp;"-"&amp;INDEX($T$6:$T$13,MATCH(3,$X$6:$X$13,0)))</f>
      </c>
      <c r="G20" s="18">
        <f>IF($A20="","",INDEX($U$6:$U$13,MATCH(3,$X$6:$X$13,0)))</f>
      </c>
      <c r="H20" s="15">
        <f>IF($A20="","",INDEX($Y$6:$Y$13,MATCH(3,$X$6:$X$13,0)))</f>
      </c>
      <c r="I20" s="15">
        <f>IF($A20="","",IF(AND($A20&lt;=Settings!$C$11,INDEX($M$6:$M$13,MATCH(3,$X$6:$X$13,0))&gt;=Settings!$C$13),"Up",IF(AND(2&lt;Settings!$C$14,$A20&gt;COUNTIF($L$6:$L$13,"?*")-Settings!$C$12),"Down","")))</f>
      </c>
      <c r="J20" s="15"/>
    </row>
    <row r="21" ht="22" customHeight="1">
      <c r="A21" s="17">
        <f>IF(4&gt;COUNTIF($L$6:$L$13,"?*"),"",4)</f>
      </c>
      <c r="B21" s="16">
        <f>IF($A21="","",INDEX($L$6:$L$13,MATCH(4,$X$6:$X$13,0)))</f>
      </c>
      <c r="C21" s="15">
        <f>IF($A21="","",INDEX($M$6:$M$13,MATCH(4,$X$6:$X$13,0)))</f>
      </c>
      <c r="D21" s="15">
        <f>IF($A21="","",INDEX($N$6:$N$13,MATCH(4,$X$6:$X$13,0)))</f>
      </c>
      <c r="E21" s="15">
        <f>IF($A21="","",INDEX($Z$6:$Z$13,MATCH(4,$X$6:$X$13,0)))</f>
      </c>
      <c r="F21" s="15">
        <f>IF($A21="","",INDEX($S$6:$S$13,MATCH(4,$X$6:$X$13,0))&amp;"-"&amp;INDEX($T$6:$T$13,MATCH(4,$X$6:$X$13,0)))</f>
      </c>
      <c r="G21" s="18">
        <f>IF($A21="","",INDEX($U$6:$U$13,MATCH(4,$X$6:$X$13,0)))</f>
      </c>
      <c r="H21" s="15">
        <f>IF($A21="","",INDEX($Y$6:$Y$13,MATCH(4,$X$6:$X$13,0)))</f>
      </c>
      <c r="I21" s="15">
        <f>IF($A21="","",IF(AND($A21&lt;=Settings!$C$11,INDEX($M$6:$M$13,MATCH(4,$X$6:$X$13,0))&gt;=Settings!$C$13),"Up",IF(AND(2&lt;Settings!$C$14,$A21&gt;COUNTIF($L$6:$L$13,"?*")-Settings!$C$12),"Down","")))</f>
      </c>
      <c r="J21" s="15"/>
    </row>
    <row r="22" ht="22" customHeight="1">
      <c r="A22" s="17">
        <f>IF(5&gt;COUNTIF($L$6:$L$13,"?*"),"",5)</f>
      </c>
      <c r="B22" s="16">
        <f>IF($A22="","",INDEX($L$6:$L$13,MATCH(5,$X$6:$X$13,0)))</f>
      </c>
      <c r="C22" s="15">
        <f>IF($A22="","",INDEX($M$6:$M$13,MATCH(5,$X$6:$X$13,0)))</f>
      </c>
      <c r="D22" s="15">
        <f>IF($A22="","",INDEX($N$6:$N$13,MATCH(5,$X$6:$X$13,0)))</f>
      </c>
      <c r="E22" s="15">
        <f>IF($A22="","",INDEX($Z$6:$Z$13,MATCH(5,$X$6:$X$13,0)))</f>
      </c>
      <c r="F22" s="15">
        <f>IF($A22="","",INDEX($S$6:$S$13,MATCH(5,$X$6:$X$13,0))&amp;"-"&amp;INDEX($T$6:$T$13,MATCH(5,$X$6:$X$13,0)))</f>
      </c>
      <c r="G22" s="18">
        <f>IF($A22="","",INDEX($U$6:$U$13,MATCH(5,$X$6:$X$13,0)))</f>
      </c>
      <c r="H22" s="15">
        <f>IF($A22="","",INDEX($Y$6:$Y$13,MATCH(5,$X$6:$X$13,0)))</f>
      </c>
      <c r="I22" s="15">
        <f>IF($A22="","",IF(AND($A22&lt;=Settings!$C$11,INDEX($M$6:$M$13,MATCH(5,$X$6:$X$13,0))&gt;=Settings!$C$13),"Up",IF(AND(2&lt;Settings!$C$14,$A22&gt;COUNTIF($L$6:$L$13,"?*")-Settings!$C$12),"Down","")))</f>
      </c>
      <c r="J22" s="15"/>
    </row>
    <row r="23" ht="22" customHeight="1">
      <c r="A23" s="17">
        <f>IF(6&gt;COUNTIF($L$6:$L$13,"?*"),"",6)</f>
      </c>
      <c r="B23" s="16">
        <f>IF($A23="","",INDEX($L$6:$L$13,MATCH(6,$X$6:$X$13,0)))</f>
      </c>
      <c r="C23" s="15">
        <f>IF($A23="","",INDEX($M$6:$M$13,MATCH(6,$X$6:$X$13,0)))</f>
      </c>
      <c r="D23" s="15">
        <f>IF($A23="","",INDEX($N$6:$N$13,MATCH(6,$X$6:$X$13,0)))</f>
      </c>
      <c r="E23" s="15">
        <f>IF($A23="","",INDEX($Z$6:$Z$13,MATCH(6,$X$6:$X$13,0)))</f>
      </c>
      <c r="F23" s="15">
        <f>IF($A23="","",INDEX($S$6:$S$13,MATCH(6,$X$6:$X$13,0))&amp;"-"&amp;INDEX($T$6:$T$13,MATCH(6,$X$6:$X$13,0)))</f>
      </c>
      <c r="G23" s="18">
        <f>IF($A23="","",INDEX($U$6:$U$13,MATCH(6,$X$6:$X$13,0)))</f>
      </c>
      <c r="H23" s="15">
        <f>IF($A23="","",INDEX($Y$6:$Y$13,MATCH(6,$X$6:$X$13,0)))</f>
      </c>
      <c r="I23" s="15">
        <f>IF($A23="","",IF(AND($A23&lt;=Settings!$C$11,INDEX($M$6:$M$13,MATCH(6,$X$6:$X$13,0))&gt;=Settings!$C$13),"Up",IF(AND(2&lt;Settings!$C$14,$A23&gt;COUNTIF($L$6:$L$13,"?*")-Settings!$C$12),"Down","")))</f>
      </c>
      <c r="J23" s="15"/>
    </row>
    <row r="24" ht="22" customHeight="1">
      <c r="A24" s="17">
        <f>IF(7&gt;COUNTIF($L$6:$L$13,"?*"),"",7)</f>
      </c>
      <c r="B24" s="16">
        <f>IF($A24="","",INDEX($L$6:$L$13,MATCH(7,$X$6:$X$13,0)))</f>
      </c>
      <c r="C24" s="15">
        <f>IF($A24="","",INDEX($M$6:$M$13,MATCH(7,$X$6:$X$13,0)))</f>
      </c>
      <c r="D24" s="15">
        <f>IF($A24="","",INDEX($N$6:$N$13,MATCH(7,$X$6:$X$13,0)))</f>
      </c>
      <c r="E24" s="15">
        <f>IF($A24="","",INDEX($Z$6:$Z$13,MATCH(7,$X$6:$X$13,0)))</f>
      </c>
      <c r="F24" s="15">
        <f>IF($A24="","",INDEX($S$6:$S$13,MATCH(7,$X$6:$X$13,0))&amp;"-"&amp;INDEX($T$6:$T$13,MATCH(7,$X$6:$X$13,0)))</f>
      </c>
      <c r="G24" s="18">
        <f>IF($A24="","",INDEX($U$6:$U$13,MATCH(7,$X$6:$X$13,0)))</f>
      </c>
      <c r="H24" s="15">
        <f>IF($A24="","",INDEX($Y$6:$Y$13,MATCH(7,$X$6:$X$13,0)))</f>
      </c>
      <c r="I24" s="15">
        <f>IF($A24="","",IF(AND($A24&lt;=Settings!$C$11,INDEX($M$6:$M$13,MATCH(7,$X$6:$X$13,0))&gt;=Settings!$C$13),"Up",IF(AND(2&lt;Settings!$C$14,$A24&gt;COUNTIF($L$6:$L$13,"?*")-Settings!$C$12),"Down","")))</f>
      </c>
      <c r="J24" s="15"/>
    </row>
    <row r="25" ht="22" customHeight="1">
      <c r="A25" s="17">
        <f>IF(8&gt;COUNTIF($L$6:$L$13,"?*"),"",8)</f>
      </c>
      <c r="B25" s="16">
        <f>IF($A25="","",INDEX($L$6:$L$13,MATCH(8,$X$6:$X$13,0)))</f>
      </c>
      <c r="C25" s="15">
        <f>IF($A25="","",INDEX($M$6:$M$13,MATCH(8,$X$6:$X$13,0)))</f>
      </c>
      <c r="D25" s="15">
        <f>IF($A25="","",INDEX($N$6:$N$13,MATCH(8,$X$6:$X$13,0)))</f>
      </c>
      <c r="E25" s="15">
        <f>IF($A25="","",INDEX($Z$6:$Z$13,MATCH(8,$X$6:$X$13,0)))</f>
      </c>
      <c r="F25" s="15">
        <f>IF($A25="","",INDEX($S$6:$S$13,MATCH(8,$X$6:$X$13,0))&amp;"-"&amp;INDEX($T$6:$T$13,MATCH(8,$X$6:$X$13,0)))</f>
      </c>
      <c r="G25" s="18">
        <f>IF($A25="","",INDEX($U$6:$U$13,MATCH(8,$X$6:$X$13,0)))</f>
      </c>
      <c r="H25" s="15">
        <f>IF($A25="","",INDEX($Y$6:$Y$13,MATCH(8,$X$6:$X$13,0)))</f>
      </c>
      <c r="I25" s="15">
        <f>IF($A25="","",IF(AND($A25&lt;=Settings!$C$11,INDEX($M$6:$M$13,MATCH(8,$X$6:$X$13,0))&gt;=Settings!$C$13),"Up",IF(AND(2&lt;Settings!$C$14,$A25&gt;COUNTIF($L$6:$L$13,"?*")-Settings!$C$12),"Down","")))</f>
      </c>
      <c r="J25" s="15"/>
    </row>
    <row r="26"/>
    <row r="27" ht="30" customHeight="1">
      <c r="A27" s="6" t="inlineStr">
        <is>
          <t xml:space="preserve">Level on points: the result between the players decides, then game difference, then the order the names were typed. Up and Down follow the Settings tab.</t>
        </is>
      </c>
    </row>
    <row r="28"/>
    <row r="29" ht="32" customHeight="1">
      <c r="A29" s="2" t="inlineStr">
        <is>
          <t xml:space="preserve">Made with Clayside's free squash box league spreadsheet. Let the players enter the scores instead.</t>
        </is>
      </c>
      <c r="B29" s="2"/>
      <c r="C29" s="2"/>
      <c r="D29" s="2"/>
      <c r="E29" s="2"/>
      <c r="F29" s="2"/>
      <c r="G29" s="2"/>
      <c r="H29" s="2"/>
      <c r="I29" s="4" t="inlineStr">
        <is>
          <t xml:space="preserve">clayside.app</t>
        </is>
      </c>
      <c r="J29" s="4"/>
    </row>
  </sheetData>
  <mergeCells count="17">
    <mergeCell ref="A2:J2"/>
    <mergeCell ref="A4:G4"/>
    <mergeCell ref="H4:I4"/>
    <mergeCell ref="A14:J14"/>
    <mergeCell ref="A16:J16"/>
    <mergeCell ref="I17:J17"/>
    <mergeCell ref="A27:J27"/>
    <mergeCell ref="A29:H29"/>
    <mergeCell ref="I29:J29"/>
    <mergeCell ref="I18:J18"/>
    <mergeCell ref="I19:J19"/>
    <mergeCell ref="I20:J20"/>
    <mergeCell ref="I21:J21"/>
    <mergeCell ref="I22:J22"/>
    <mergeCell ref="I23:J23"/>
    <mergeCell ref="I24:J24"/>
    <mergeCell ref="I25:J25"/>
  </mergeCells>
  <conditionalFormatting sqref="C6:J13">
    <cfRule type="expression" dxfId="6" priority="1">
      <formula>AND($J$4&lt;&gt;"Twice",ROW(C6)-6&gt;COLUMN(C6)-3)</formula>
    </cfRule>
    <cfRule type="expression" dxfId="0" priority="2">
      <formula>OR(LEFT(C6,1)="3",C6="Walkover won")</formula>
    </cfRule>
    <cfRule type="expression" dxfId="1" priority="3">
      <formula>OR(C6="1-3",C6="2-3")</formula>
    </cfRule>
    <cfRule type="expression" dxfId="2" priority="4">
      <formula>OR(C6="0-3",C6="Walkover lost")</formula>
    </cfRule>
    <cfRule type="expression" dxfId="5" priority="5">
      <formula>AND($J$4="Twice",ROW(C6)-6&gt;COLUMN(C6)-3)</formula>
    </cfRule>
  </conditionalFormatting>
  <conditionalFormatting sqref="I18:I25">
    <cfRule type="expression" dxfId="3" priority="6">
      <formula>I18="Up"</formula>
    </cfRule>
    <cfRule type="expression" dxfId="4" priority="7">
      <formula>I18="Down"</formula>
    </cfRule>
  </conditionalFormatting>
  <dataValidations count="3">
    <dataValidation type="list" allowBlank="1" showInputMessage="1" showErrorMessage="1" errorStyle="stop" errorTitle="Once or twice" error="Pick Once or Twice." promptTitle="Once or twice" prompt="Does each pair in this box play once, or twice?" sqref="J4">
      <formula1>"Once,Twice"</formula1>
    </dataValidation>
    <dataValidation type="list" allowBlank="1" showInputMessage="1" showErrorMessage="1" errorStyle="stop" errorTitle="Pick a result from the list" error="A result is 3-0, 3-1, 3-2, 2-3, 1-3 or 0-3 in games, or a walkover. Pick one from the drop-down." promptTitle="The result" prompt="Pick the result from the row player's side. Played twice, this is the first match." sqref="D6 E6 F6 G6 H6 I6 J6 E7 F7 G7 H7 I7 J7 F8 G8 H8 I8 J8 G9 H9 I9 J9 H10 I10 J10 I11 J11 J12">
      <formula1>"3-0,3-1,3-2,2-3,1-3,0-3,Walkover won,Walkover lost"</formula1>
    </dataValidation>
    <dataValidation type="list" allowBlank="0" showInputMessage="1" showErrorMessage="1" errorStyle="stop" errorTitle="Not this square" error="Playing once, the result goes in the cream square above the dark diagonal. Playing twice, pick 3-0, 3-1, 3-2, 2-3, 1-3, 0-3 or a walkover from the drop-down." promptTitle="Below the diagonal" prompt="Playing once, leave this half alone: it fills itself in from the result above. Playing twice, pick the second match here." sqref="C7 C8 D8 C9 D9 E9 C10 D10 E10 F10 C11 D11 E11 F11 G11 C12 D12 E12 F12 G12 H12 C13 D13 E13 F13 G13 H13 I13">
      <formula1>$AA$6:$AA$13</formula1>
    </dataValidation>
  </dataValidations>
  <pageMargins left="0.4" right="0.4" top="0.5" bottom="0.5" header="0.3" footer="0.3"/>
  <pageSetup paperSize="9" orientation="landscape" fitToWidth="1" fitToHeight="1"/>
</worksheet>
</file>

<file path=xl/worksheets/sheet4.xml><?xml version="1.0" encoding="utf-8"?>
<worksheet xmlns="http://schemas.openxmlformats.org/spreadsheetml/2006/main">
  <sheetPr>
    <tabColor rgb="FFB08A3E"/>
    <pageSetUpPr fitToPage="1"/>
  </sheetPr>
  <sheetViews>
    <sheetView workbookViewId="0" showGridLines="0"/>
  </sheetViews>
  <cols>
    <col min="1" max="1" width="6" customWidth="1"/>
    <col min="2" max="2" width="2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3" customWidth="1"/>
    <col min="12" max="12" width="10" customWidth="1" hidden="1"/>
    <col min="13" max="13" width="10" customWidth="1" hidden="1"/>
    <col min="14" max="14" width="10" customWidth="1" hidden="1"/>
    <col min="15" max="15" width="10" customWidth="1" hidden="1"/>
    <col min="16" max="16" width="10" customWidth="1" hidden="1"/>
    <col min="17" max="17" width="10" customWidth="1" hidden="1"/>
    <col min="18" max="18" width="10" customWidth="1" hidden="1"/>
    <col min="19" max="19" width="10" customWidth="1" hidden="1"/>
    <col min="20" max="20" width="10" customWidth="1" hidden="1"/>
    <col min="21" max="21" width="10" customWidth="1" hidden="1"/>
    <col min="22" max="22" width="10" customWidth="1" hidden="1"/>
    <col min="23" max="23" width="10" customWidth="1" hidden="1"/>
    <col min="24" max="24" width="10" customWidth="1" hidden="1"/>
    <col min="25" max="25" width="10" customWidth="1" hidden="1"/>
    <col min="26" max="26" width="10" customWidth="1" hidden="1"/>
    <col min="27" max="27" width="10" customWidth="1" hidden="1"/>
  </cols>
  <sheetData>
    <row r="1" ht="34" customHeight="1">
      <c r="A1" s="1" t="inlineStr">
        <is>
          <t xml:space="preserve">Box 3</t>
        </is>
      </c>
      <c r="B1" s="2"/>
      <c r="C1" s="2"/>
      <c r="D1" s="2"/>
      <c r="E1" s="2"/>
      <c r="F1" s="2"/>
      <c r="G1" s="2"/>
      <c r="H1" s="2"/>
      <c r="I1" s="2"/>
      <c r="J1" s="2"/>
    </row>
    <row r="2" ht="44" customHeight="1">
      <c r="A2" s="6" t="inlineStr">
        <is>
          <t xml:space="preserve">Type the names in column B, and choose whether each pair plays once or twice. Then pick each result from the drop-down in a cream cell, from the row player's side, in games. The colours and the table follow by themselves.</t>
        </is>
      </c>
    </row>
    <row r="3"/>
    <row r="4" ht="26" customHeight="1">
      <c r="A4" s="5" t="inlineStr">
        <is>
          <t xml:space="preserve">Players and results</t>
        </is>
      </c>
      <c r="B4" s="5"/>
      <c r="C4" s="5"/>
      <c r="D4" s="5"/>
      <c r="E4" s="5"/>
      <c r="F4" s="5"/>
      <c r="G4" s="5"/>
      <c r="H4" s="23" t="inlineStr">
        <is>
          <t xml:space="preserve">Each pair plays</t>
        </is>
      </c>
      <c r="I4" s="23"/>
      <c r="J4" s="24" t="inlineStr">
        <is>
          <t xml:space="preserve">Once</t>
        </is>
      </c>
    </row>
    <row r="5" ht="30" customHeight="1">
      <c r="A5" s="11" t="inlineStr">
        <is>
          <t xml:space="preserve">No.</t>
        </is>
      </c>
      <c r="B5" s="11" t="inlineStr">
        <is>
          <t xml:space="preserve">Player</t>
        </is>
      </c>
      <c r="C5" s="11">
        <f>IF($B$6="","1",$B$6)</f>
      </c>
      <c r="D5" s="11">
        <f>IF($B$7="","2",$B$7)</f>
      </c>
      <c r="E5" s="11">
        <f>IF($B$8="","3",$B$8)</f>
      </c>
      <c r="F5" s="11">
        <f>IF($B$9="","4",$B$9)</f>
      </c>
      <c r="G5" s="11">
        <f>IF($B$10="","5",$B$10)</f>
      </c>
      <c r="H5" s="11">
        <f>IF($B$11="","6",$B$11)</f>
      </c>
      <c r="I5" s="11">
        <f>IF($B$12="","7",$B$12)</f>
      </c>
      <c r="J5" s="11">
        <f>IF($B$13="","8",$B$13)</f>
      </c>
      <c r="L5" s="22" t="inlineStr">
        <is>
          <t xml:space="preserve">Worked out for you</t>
        </is>
      </c>
    </row>
    <row r="6" ht="22" customHeight="1">
      <c r="A6" s="9">
        <v>1</v>
      </c>
      <c r="B6" s="10"/>
      <c r="C6" s="14"/>
      <c r="D6" s="12"/>
      <c r="E6" s="12"/>
      <c r="F6" s="12"/>
      <c r="G6" s="12"/>
      <c r="H6" s="12"/>
      <c r="I6" s="12"/>
      <c r="J6" s="12"/>
      <c r="L6">
        <f>IF($B6="","",$B6)</f>
      </c>
      <c r="M6">
        <f>IF($L6="","",(COUNTIF($D$6:$J$6,"?*")+0+($J$4="Twice")*(0+COUNTIF($C$7:$C$13,"?*"))))</f>
      </c>
      <c r="N6">
        <f>IF($L6="","",(COUNTIF($D$6:$J$6,"3-*")+0+($J$4="Twice")*(0+COUNTIF($C$7:$C$13,"?-3")))+(COUNTIF($D$6:$J$6,"Walkover won")+0+($J$4="Twice")*(0+COUNTIF($C$7:$C$13,"Walkover lost"))))</f>
      </c>
      <c r="O6">
        <f>IF($L6="","",(COUNTIF($D$6:$J$6,"1-3")+0+($J$4="Twice")*(0+COUNTIF($C$7:$C$13,"3-1")))+(COUNTIF($D$6:$J$6,"2-3")+0+($J$4="Twice")*(0+COUNTIF($C$7:$C$13,"3-2"))))</f>
      </c>
      <c r="P6">
        <f>IF($L6="","",(COUNTIF($D$6:$J$6,"0-3")+0+($J$4="Twice")*(0+COUNTIF($C$7:$C$13,"3-0"))))</f>
      </c>
      <c r="Q6">
        <f>IF($L6="","",(COUNTIF($D$6:$J$6,"Walkover won")+0+($J$4="Twice")*(0+COUNTIF($C$7:$C$13,"Walkover lost"))))</f>
      </c>
      <c r="R6">
        <f>IF($L6="","",(COUNTIF($D$6:$J$6,"Walkover lost")+0+($J$4="Twice")*(0+COUNTIF($C$7:$C$13,"Walkover won"))))</f>
      </c>
      <c r="S6">
        <f>IF($L6="","",3*(COUNTIF($D$6:$J$6,"3-*")+0+($J$4="Twice")*(0+COUNTIF($C$7:$C$13,"?-3")))+1*(COUNTIF($D$6:$J$6,"1-3")+0+($J$4="Twice")*(0+COUNTIF($C$7:$C$13,"3-1")))+2*(COUNTIF($D$6:$J$6,"2-3")+0+($J$4="Twice")*(0+COUNTIF($C$7:$C$13,"3-2")))+3*$Q6)</f>
      </c>
      <c r="T6">
        <f>IF($L6="","",1*(COUNTIF($D$6:$J$6,"3-1")+0+($J$4="Twice")*(0+COUNTIF($C$7:$C$13,"1-3")))+2*(COUNTIF($D$6:$J$6,"3-2")+0+($J$4="Twice")*(0+COUNTIF($C$7:$C$13,"2-3")))+3*(COUNTIF($D$6:$J$6,"?-3")+0+($J$4="Twice")*(0+COUNTIF($C$7:$C$13,"3-*")))+3*$R6)</f>
      </c>
      <c r="U6">
        <f>IF($L6="","",$N6*Settings!$C$5+$O6*Settings!$C$6+$P6*Settings!$C$7+$R6*Settings!$C$8)</f>
      </c>
      <c r="V6">
        <f>IF($L6="","",IF(AND($L$7&lt;&gt;"",$U$7=$U6),OR(LEFT(D6,1)="3",D6="Walkover won")*1+($J$4="Twice")*OR(RIGHT(C7,1)="3",C7="Walkover lost"),0)+IF(AND($L$8&lt;&gt;"",$U$8=$U6),OR(LEFT(E6,1)="3",E6="Walkover won")*1+($J$4="Twice")*OR(RIGHT(C8,1)="3",C8="Walkover lost"),0)+IF(AND($L$9&lt;&gt;"",$U$9=$U6),OR(LEFT(F6,1)="3",F6="Walkover won")*1+($J$4="Twice")*OR(RIGHT(C9,1)="3",C9="Walkover lost"),0)+IF(AND($L$10&lt;&gt;"",$U$10=$U6),OR(LEFT(G6,1)="3",G6="Walkover won")*1+($J$4="Twice")*OR(RIGHT(C10,1)="3",C10="Walkover lost"),0)+IF(AND($L$11&lt;&gt;"",$U$11=$U6),OR(LEFT(H6,1)="3",H6="Walkover won")*1+($J$4="Twice")*OR(RIGHT(C11,1)="3",C11="Walkover lost"),0)+IF(AND($L$12&lt;&gt;"",$U$12=$U6),OR(LEFT(I6,1)="3",I6="Walkover won")*1+($J$4="Twice")*OR(RIGHT(C12,1)="3",C12="Walkover lost"),0)+IF(AND($L$13&lt;&gt;"",$U$13=$U6),OR(LEFT(J6,1)="3",J6="Walkover won")*1+($J$4="Twice")*OR(RIGHT(C13,1)="3",C13="Walkover lost"),0))</f>
      </c>
      <c r="W6">
        <f>IF($L6="","",$U6*10000+$V6*1000+($S6-$T6+50)*10+8)</f>
      </c>
      <c r="X6">
        <f>IF($L6="","",1+COUNTIF($W$6:$W$13,"&gt;"&amp;$W6))</f>
      </c>
      <c r="Y6">
        <f>IF($L6="","",(COUNTIF($L$6:$L$13,"?*")-1)*(1+($J$4="Twice"))-$M6)</f>
      </c>
      <c r="Z6">
        <f>IF($L6="","",$O6+$P6+$R6)</f>
      </c>
      <c r="AA6">
        <f>IF(($J$4="Twice"),"3-0","")</f>
      </c>
    </row>
    <row r="7" ht="22" customHeight="1">
      <c r="A7" s="9">
        <v>2</v>
      </c>
      <c r="B7" s="10"/>
      <c r="C7" s="13">
        <f>IF(($J$4="Twice"),"",IF(D6="3-0","0-3",IF(D6="3-1","1-3",IF(D6="3-2","2-3",IF(D6="2-3","3-2",IF(D6="1-3","3-1",IF(D6="0-3","3-0",IF(D6="Walkover won","Walkover lost",IF(D6="Walkover lost","Walkover won","")))))))))</f>
      </c>
      <c r="D7" s="14"/>
      <c r="E7" s="12"/>
      <c r="F7" s="12"/>
      <c r="G7" s="12"/>
      <c r="H7" s="12"/>
      <c r="I7" s="12"/>
      <c r="J7" s="12"/>
      <c r="L7">
        <f>IF($B7="","",$B7)</f>
      </c>
      <c r="M7">
        <f>IF($L7="","",(COUNTIF($E$7:$J$7,"?*")+COUNTIF($D$6:$D$6,"?*")+($J$4="Twice")*(COUNTIF($C$7:$C$7,"?*")+COUNTIF($D$8:$D$13,"?*"))))</f>
      </c>
      <c r="N7">
        <f>IF($L7="","",(COUNTIF($E$7:$J$7,"3-*")+COUNTIF($D$6:$D$6,"?-3")+($J$4="Twice")*(COUNTIF($C$7:$C$7,"3-*")+COUNTIF($D$8:$D$13,"?-3")))+(COUNTIF($E$7:$J$7,"Walkover won")+COUNTIF($D$6:$D$6,"Walkover lost")+($J$4="Twice")*(COUNTIF($C$7:$C$7,"Walkover won")+COUNTIF($D$8:$D$13,"Walkover lost"))))</f>
      </c>
      <c r="O7">
        <f>IF($L7="","",(COUNTIF($E$7:$J$7,"1-3")+COUNTIF($D$6:$D$6,"3-1")+($J$4="Twice")*(COUNTIF($C$7:$C$7,"1-3")+COUNTIF($D$8:$D$13,"3-1")))+(COUNTIF($E$7:$J$7,"2-3")+COUNTIF($D$6:$D$6,"3-2")+($J$4="Twice")*(COUNTIF($C$7:$C$7,"2-3")+COUNTIF($D$8:$D$13,"3-2"))))</f>
      </c>
      <c r="P7">
        <f>IF($L7="","",(COUNTIF($E$7:$J$7,"0-3")+COUNTIF($D$6:$D$6,"3-0")+($J$4="Twice")*(COUNTIF($C$7:$C$7,"0-3")+COUNTIF($D$8:$D$13,"3-0"))))</f>
      </c>
      <c r="Q7">
        <f>IF($L7="","",(COUNTIF($E$7:$J$7,"Walkover won")+COUNTIF($D$6:$D$6,"Walkover lost")+($J$4="Twice")*(COUNTIF($C$7:$C$7,"Walkover won")+COUNTIF($D$8:$D$13,"Walkover lost"))))</f>
      </c>
      <c r="R7">
        <f>IF($L7="","",(COUNTIF($E$7:$J$7,"Walkover lost")+COUNTIF($D$6:$D$6,"Walkover won")+($J$4="Twice")*(COUNTIF($C$7:$C$7,"Walkover lost")+COUNTIF($D$8:$D$13,"Walkover won"))))</f>
      </c>
      <c r="S7">
        <f>IF($L7="","",3*(COUNTIF($E$7:$J$7,"3-*")+COUNTIF($D$6:$D$6,"?-3")+($J$4="Twice")*(COUNTIF($C$7:$C$7,"3-*")+COUNTIF($D$8:$D$13,"?-3")))+1*(COUNTIF($E$7:$J$7,"1-3")+COUNTIF($D$6:$D$6,"3-1")+($J$4="Twice")*(COUNTIF($C$7:$C$7,"1-3")+COUNTIF($D$8:$D$13,"3-1")))+2*(COUNTIF($E$7:$J$7,"2-3")+COUNTIF($D$6:$D$6,"3-2")+($J$4="Twice")*(COUNTIF($C$7:$C$7,"2-3")+COUNTIF($D$8:$D$13,"3-2")))+3*$Q7)</f>
      </c>
      <c r="T7">
        <f>IF($L7="","",1*(COUNTIF($E$7:$J$7,"3-1")+COUNTIF($D$6:$D$6,"1-3")+($J$4="Twice")*(COUNTIF($C$7:$C$7,"3-1")+COUNTIF($D$8:$D$13,"1-3")))+2*(COUNTIF($E$7:$J$7,"3-2")+COUNTIF($D$6:$D$6,"2-3")+($J$4="Twice")*(COUNTIF($C$7:$C$7,"3-2")+COUNTIF($D$8:$D$13,"2-3")))+3*(COUNTIF($E$7:$J$7,"?-3")+COUNTIF($D$6:$D$6,"3-*")+($J$4="Twice")*(COUNTIF($C$7:$C$7,"?-3")+COUNTIF($D$8:$D$13,"3-*")))+3*$R7)</f>
      </c>
      <c r="U7">
        <f>IF($L7="","",$N7*Settings!$C$5+$O7*Settings!$C$6+$P7*Settings!$C$7+$R7*Settings!$C$8)</f>
      </c>
      <c r="V7">
        <f>IF($L7="","",IF(AND($L$6&lt;&gt;"",$U$6=$U7),OR(RIGHT(D6,1)="3",D6="Walkover lost")*1+($J$4="Twice")*OR(LEFT(C7,1)="3",C7="Walkover won"),0)+IF(AND($L$8&lt;&gt;"",$U$8=$U7),OR(LEFT(E7,1)="3",E7="Walkover won")*1+($J$4="Twice")*OR(RIGHT(D8,1)="3",D8="Walkover lost"),0)+IF(AND($L$9&lt;&gt;"",$U$9=$U7),OR(LEFT(F7,1)="3",F7="Walkover won")*1+($J$4="Twice")*OR(RIGHT(D9,1)="3",D9="Walkover lost"),0)+IF(AND($L$10&lt;&gt;"",$U$10=$U7),OR(LEFT(G7,1)="3",G7="Walkover won")*1+($J$4="Twice")*OR(RIGHT(D10,1)="3",D10="Walkover lost"),0)+IF(AND($L$11&lt;&gt;"",$U$11=$U7),OR(LEFT(H7,1)="3",H7="Walkover won")*1+($J$4="Twice")*OR(RIGHT(D11,1)="3",D11="Walkover lost"),0)+IF(AND($L$12&lt;&gt;"",$U$12=$U7),OR(LEFT(I7,1)="3",I7="Walkover won")*1+($J$4="Twice")*OR(RIGHT(D12,1)="3",D12="Walkover lost"),0)+IF(AND($L$13&lt;&gt;"",$U$13=$U7),OR(LEFT(J7,1)="3",J7="Walkover won")*1+($J$4="Twice")*OR(RIGHT(D13,1)="3",D13="Walkover lost"),0))</f>
      </c>
      <c r="W7">
        <f>IF($L7="","",$U7*10000+$V7*1000+($S7-$T7+50)*10+7)</f>
      </c>
      <c r="X7">
        <f>IF($L7="","",1+COUNTIF($W$6:$W$13,"&gt;"&amp;$W7))</f>
      </c>
      <c r="Y7">
        <f>IF($L7="","",(COUNTIF($L$6:$L$13,"?*")-1)*(1+($J$4="Twice"))-$M7)</f>
      </c>
      <c r="Z7">
        <f>IF($L7="","",$O7+$P7+$R7)</f>
      </c>
      <c r="AA7">
        <f>IF(($J$4="Twice"),"3-1","")</f>
      </c>
    </row>
    <row r="8" ht="22" customHeight="1">
      <c r="A8" s="9">
        <v>3</v>
      </c>
      <c r="B8" s="10"/>
      <c r="C8" s="13">
        <f>IF(($J$4="Twice"),"",IF(E6="3-0","0-3",IF(E6="3-1","1-3",IF(E6="3-2","2-3",IF(E6="2-3","3-2",IF(E6="1-3","3-1",IF(E6="0-3","3-0",IF(E6="Walkover won","Walkover lost",IF(E6="Walkover lost","Walkover won","")))))))))</f>
      </c>
      <c r="D8" s="13">
        <f>IF(($J$4="Twice"),"",IF(E7="3-0","0-3",IF(E7="3-1","1-3",IF(E7="3-2","2-3",IF(E7="2-3","3-2",IF(E7="1-3","3-1",IF(E7="0-3","3-0",IF(E7="Walkover won","Walkover lost",IF(E7="Walkover lost","Walkover won","")))))))))</f>
      </c>
      <c r="E8" s="14"/>
      <c r="F8" s="12"/>
      <c r="G8" s="12"/>
      <c r="H8" s="12"/>
      <c r="I8" s="12"/>
      <c r="J8" s="12"/>
      <c r="L8">
        <f>IF($B8="","",$B8)</f>
      </c>
      <c r="M8">
        <f>IF($L8="","",(COUNTIF($F$8:$J$8,"?*")+COUNTIF($E$6:$E$7,"?*")+($J$4="Twice")*(COUNTIF($C$8:$D$8,"?*")+COUNTIF($E$9:$E$13,"?*"))))</f>
      </c>
      <c r="N8">
        <f>IF($L8="","",(COUNTIF($F$8:$J$8,"3-*")+COUNTIF($E$6:$E$7,"?-3")+($J$4="Twice")*(COUNTIF($C$8:$D$8,"3-*")+COUNTIF($E$9:$E$13,"?-3")))+(COUNTIF($F$8:$J$8,"Walkover won")+COUNTIF($E$6:$E$7,"Walkover lost")+($J$4="Twice")*(COUNTIF($C$8:$D$8,"Walkover won")+COUNTIF($E$9:$E$13,"Walkover lost"))))</f>
      </c>
      <c r="O8">
        <f>IF($L8="","",(COUNTIF($F$8:$J$8,"1-3")+COUNTIF($E$6:$E$7,"3-1")+($J$4="Twice")*(COUNTIF($C$8:$D$8,"1-3")+COUNTIF($E$9:$E$13,"3-1")))+(COUNTIF($F$8:$J$8,"2-3")+COUNTIF($E$6:$E$7,"3-2")+($J$4="Twice")*(COUNTIF($C$8:$D$8,"2-3")+COUNTIF($E$9:$E$13,"3-2"))))</f>
      </c>
      <c r="P8">
        <f>IF($L8="","",(COUNTIF($F$8:$J$8,"0-3")+COUNTIF($E$6:$E$7,"3-0")+($J$4="Twice")*(COUNTIF($C$8:$D$8,"0-3")+COUNTIF($E$9:$E$13,"3-0"))))</f>
      </c>
      <c r="Q8">
        <f>IF($L8="","",(COUNTIF($F$8:$J$8,"Walkover won")+COUNTIF($E$6:$E$7,"Walkover lost")+($J$4="Twice")*(COUNTIF($C$8:$D$8,"Walkover won")+COUNTIF($E$9:$E$13,"Walkover lost"))))</f>
      </c>
      <c r="R8">
        <f>IF($L8="","",(COUNTIF($F$8:$J$8,"Walkover lost")+COUNTIF($E$6:$E$7,"Walkover won")+($J$4="Twice")*(COUNTIF($C$8:$D$8,"Walkover lost")+COUNTIF($E$9:$E$13,"Walkover won"))))</f>
      </c>
      <c r="S8">
        <f>IF($L8="","",3*(COUNTIF($F$8:$J$8,"3-*")+COUNTIF($E$6:$E$7,"?-3")+($J$4="Twice")*(COUNTIF($C$8:$D$8,"3-*")+COUNTIF($E$9:$E$13,"?-3")))+1*(COUNTIF($F$8:$J$8,"1-3")+COUNTIF($E$6:$E$7,"3-1")+($J$4="Twice")*(COUNTIF($C$8:$D$8,"1-3")+COUNTIF($E$9:$E$13,"3-1")))+2*(COUNTIF($F$8:$J$8,"2-3")+COUNTIF($E$6:$E$7,"3-2")+($J$4="Twice")*(COUNTIF($C$8:$D$8,"2-3")+COUNTIF($E$9:$E$13,"3-2")))+3*$Q8)</f>
      </c>
      <c r="T8">
        <f>IF($L8="","",1*(COUNTIF($F$8:$J$8,"3-1")+COUNTIF($E$6:$E$7,"1-3")+($J$4="Twice")*(COUNTIF($C$8:$D$8,"3-1")+COUNTIF($E$9:$E$13,"1-3")))+2*(COUNTIF($F$8:$J$8,"3-2")+COUNTIF($E$6:$E$7,"2-3")+($J$4="Twice")*(COUNTIF($C$8:$D$8,"3-2")+COUNTIF($E$9:$E$13,"2-3")))+3*(COUNTIF($F$8:$J$8,"?-3")+COUNTIF($E$6:$E$7,"3-*")+($J$4="Twice")*(COUNTIF($C$8:$D$8,"?-3")+COUNTIF($E$9:$E$13,"3-*")))+3*$R8)</f>
      </c>
      <c r="U8">
        <f>IF($L8="","",$N8*Settings!$C$5+$O8*Settings!$C$6+$P8*Settings!$C$7+$R8*Settings!$C$8)</f>
      </c>
      <c r="V8">
        <f>IF($L8="","",IF(AND($L$6&lt;&gt;"",$U$6=$U8),OR(RIGHT(E6,1)="3",E6="Walkover lost")*1+($J$4="Twice")*OR(LEFT(C8,1)="3",C8="Walkover won"),0)+IF(AND($L$7&lt;&gt;"",$U$7=$U8),OR(RIGHT(E7,1)="3",E7="Walkover lost")*1+($J$4="Twice")*OR(LEFT(D8,1)="3",D8="Walkover won"),0)+IF(AND($L$9&lt;&gt;"",$U$9=$U8),OR(LEFT(F8,1)="3",F8="Walkover won")*1+($J$4="Twice")*OR(RIGHT(E9,1)="3",E9="Walkover lost"),0)+IF(AND($L$10&lt;&gt;"",$U$10=$U8),OR(LEFT(G8,1)="3",G8="Walkover won")*1+($J$4="Twice")*OR(RIGHT(E10,1)="3",E10="Walkover lost"),0)+IF(AND($L$11&lt;&gt;"",$U$11=$U8),OR(LEFT(H8,1)="3",H8="Walkover won")*1+($J$4="Twice")*OR(RIGHT(E11,1)="3",E11="Walkover lost"),0)+IF(AND($L$12&lt;&gt;"",$U$12=$U8),OR(LEFT(I8,1)="3",I8="Walkover won")*1+($J$4="Twice")*OR(RIGHT(E12,1)="3",E12="Walkover lost"),0)+IF(AND($L$13&lt;&gt;"",$U$13=$U8),OR(LEFT(J8,1)="3",J8="Walkover won")*1+($J$4="Twice")*OR(RIGHT(E13,1)="3",E13="Walkover lost"),0))</f>
      </c>
      <c r="W8">
        <f>IF($L8="","",$U8*10000+$V8*1000+($S8-$T8+50)*10+6)</f>
      </c>
      <c r="X8">
        <f>IF($L8="","",1+COUNTIF($W$6:$W$13,"&gt;"&amp;$W8))</f>
      </c>
      <c r="Y8">
        <f>IF($L8="","",(COUNTIF($L$6:$L$13,"?*")-1)*(1+($J$4="Twice"))-$M8)</f>
      </c>
      <c r="Z8">
        <f>IF($L8="","",$O8+$P8+$R8)</f>
      </c>
      <c r="AA8">
        <f>IF(($J$4="Twice"),"3-2","")</f>
      </c>
    </row>
    <row r="9" ht="22" customHeight="1">
      <c r="A9" s="9">
        <v>4</v>
      </c>
      <c r="B9" s="10"/>
      <c r="C9" s="13">
        <f>IF(($J$4="Twice"),"",IF(F6="3-0","0-3",IF(F6="3-1","1-3",IF(F6="3-2","2-3",IF(F6="2-3","3-2",IF(F6="1-3","3-1",IF(F6="0-3","3-0",IF(F6="Walkover won","Walkover lost",IF(F6="Walkover lost","Walkover won","")))))))))</f>
      </c>
      <c r="D9" s="13">
        <f>IF(($J$4="Twice"),"",IF(F7="3-0","0-3",IF(F7="3-1","1-3",IF(F7="3-2","2-3",IF(F7="2-3","3-2",IF(F7="1-3","3-1",IF(F7="0-3","3-0",IF(F7="Walkover won","Walkover lost",IF(F7="Walkover lost","Walkover won","")))))))))</f>
      </c>
      <c r="E9" s="13">
        <f>IF(($J$4="Twice"),"",IF(F8="3-0","0-3",IF(F8="3-1","1-3",IF(F8="3-2","2-3",IF(F8="2-3","3-2",IF(F8="1-3","3-1",IF(F8="0-3","3-0",IF(F8="Walkover won","Walkover lost",IF(F8="Walkover lost","Walkover won","")))))))))</f>
      </c>
      <c r="F9" s="14"/>
      <c r="G9" s="12"/>
      <c r="H9" s="12"/>
      <c r="I9" s="12"/>
      <c r="J9" s="12"/>
      <c r="L9">
        <f>IF($B9="","",$B9)</f>
      </c>
      <c r="M9">
        <f>IF($L9="","",(COUNTIF($G$9:$J$9,"?*")+COUNTIF($F$6:$F$8,"?*")+($J$4="Twice")*(COUNTIF($C$9:$E$9,"?*")+COUNTIF($F$10:$F$13,"?*"))))</f>
      </c>
      <c r="N9">
        <f>IF($L9="","",(COUNTIF($G$9:$J$9,"3-*")+COUNTIF($F$6:$F$8,"?-3")+($J$4="Twice")*(COUNTIF($C$9:$E$9,"3-*")+COUNTIF($F$10:$F$13,"?-3")))+(COUNTIF($G$9:$J$9,"Walkover won")+COUNTIF($F$6:$F$8,"Walkover lost")+($J$4="Twice")*(COUNTIF($C$9:$E$9,"Walkover won")+COUNTIF($F$10:$F$13,"Walkover lost"))))</f>
      </c>
      <c r="O9">
        <f>IF($L9="","",(COUNTIF($G$9:$J$9,"1-3")+COUNTIF($F$6:$F$8,"3-1")+($J$4="Twice")*(COUNTIF($C$9:$E$9,"1-3")+COUNTIF($F$10:$F$13,"3-1")))+(COUNTIF($G$9:$J$9,"2-3")+COUNTIF($F$6:$F$8,"3-2")+($J$4="Twice")*(COUNTIF($C$9:$E$9,"2-3")+COUNTIF($F$10:$F$13,"3-2"))))</f>
      </c>
      <c r="P9">
        <f>IF($L9="","",(COUNTIF($G$9:$J$9,"0-3")+COUNTIF($F$6:$F$8,"3-0")+($J$4="Twice")*(COUNTIF($C$9:$E$9,"0-3")+COUNTIF($F$10:$F$13,"3-0"))))</f>
      </c>
      <c r="Q9">
        <f>IF($L9="","",(COUNTIF($G$9:$J$9,"Walkover won")+COUNTIF($F$6:$F$8,"Walkover lost")+($J$4="Twice")*(COUNTIF($C$9:$E$9,"Walkover won")+COUNTIF($F$10:$F$13,"Walkover lost"))))</f>
      </c>
      <c r="R9">
        <f>IF($L9="","",(COUNTIF($G$9:$J$9,"Walkover lost")+COUNTIF($F$6:$F$8,"Walkover won")+($J$4="Twice")*(COUNTIF($C$9:$E$9,"Walkover lost")+COUNTIF($F$10:$F$13,"Walkover won"))))</f>
      </c>
      <c r="S9">
        <f>IF($L9="","",3*(COUNTIF($G$9:$J$9,"3-*")+COUNTIF($F$6:$F$8,"?-3")+($J$4="Twice")*(COUNTIF($C$9:$E$9,"3-*")+COUNTIF($F$10:$F$13,"?-3")))+1*(COUNTIF($G$9:$J$9,"1-3")+COUNTIF($F$6:$F$8,"3-1")+($J$4="Twice")*(COUNTIF($C$9:$E$9,"1-3")+COUNTIF($F$10:$F$13,"3-1")))+2*(COUNTIF($G$9:$J$9,"2-3")+COUNTIF($F$6:$F$8,"3-2")+($J$4="Twice")*(COUNTIF($C$9:$E$9,"2-3")+COUNTIF($F$10:$F$13,"3-2")))+3*$Q9)</f>
      </c>
      <c r="T9">
        <f>IF($L9="","",1*(COUNTIF($G$9:$J$9,"3-1")+COUNTIF($F$6:$F$8,"1-3")+($J$4="Twice")*(COUNTIF($C$9:$E$9,"3-1")+COUNTIF($F$10:$F$13,"1-3")))+2*(COUNTIF($G$9:$J$9,"3-2")+COUNTIF($F$6:$F$8,"2-3")+($J$4="Twice")*(COUNTIF($C$9:$E$9,"3-2")+COUNTIF($F$10:$F$13,"2-3")))+3*(COUNTIF($G$9:$J$9,"?-3")+COUNTIF($F$6:$F$8,"3-*")+($J$4="Twice")*(COUNTIF($C$9:$E$9,"?-3")+COUNTIF($F$10:$F$13,"3-*")))+3*$R9)</f>
      </c>
      <c r="U9">
        <f>IF($L9="","",$N9*Settings!$C$5+$O9*Settings!$C$6+$P9*Settings!$C$7+$R9*Settings!$C$8)</f>
      </c>
      <c r="V9">
        <f>IF($L9="","",IF(AND($L$6&lt;&gt;"",$U$6=$U9),OR(RIGHT(F6,1)="3",F6="Walkover lost")*1+($J$4="Twice")*OR(LEFT(C9,1)="3",C9="Walkover won"),0)+IF(AND($L$7&lt;&gt;"",$U$7=$U9),OR(RIGHT(F7,1)="3",F7="Walkover lost")*1+($J$4="Twice")*OR(LEFT(D9,1)="3",D9="Walkover won"),0)+IF(AND($L$8&lt;&gt;"",$U$8=$U9),OR(RIGHT(F8,1)="3",F8="Walkover lost")*1+($J$4="Twice")*OR(LEFT(E9,1)="3",E9="Walkover won"),0)+IF(AND($L$10&lt;&gt;"",$U$10=$U9),OR(LEFT(G9,1)="3",G9="Walkover won")*1+($J$4="Twice")*OR(RIGHT(F10,1)="3",F10="Walkover lost"),0)+IF(AND($L$11&lt;&gt;"",$U$11=$U9),OR(LEFT(H9,1)="3",H9="Walkover won")*1+($J$4="Twice")*OR(RIGHT(F11,1)="3",F11="Walkover lost"),0)+IF(AND($L$12&lt;&gt;"",$U$12=$U9),OR(LEFT(I9,1)="3",I9="Walkover won")*1+($J$4="Twice")*OR(RIGHT(F12,1)="3",F12="Walkover lost"),0)+IF(AND($L$13&lt;&gt;"",$U$13=$U9),OR(LEFT(J9,1)="3",J9="Walkover won")*1+($J$4="Twice")*OR(RIGHT(F13,1)="3",F13="Walkover lost"),0))</f>
      </c>
      <c r="W9">
        <f>IF($L9="","",$U9*10000+$V9*1000+($S9-$T9+50)*10+5)</f>
      </c>
      <c r="X9">
        <f>IF($L9="","",1+COUNTIF($W$6:$W$13,"&gt;"&amp;$W9))</f>
      </c>
      <c r="Y9">
        <f>IF($L9="","",(COUNTIF($L$6:$L$13,"?*")-1)*(1+($J$4="Twice"))-$M9)</f>
      </c>
      <c r="Z9">
        <f>IF($L9="","",$O9+$P9+$R9)</f>
      </c>
      <c r="AA9">
        <f>IF(($J$4="Twice"),"2-3","")</f>
      </c>
    </row>
    <row r="10" ht="22" customHeight="1">
      <c r="A10" s="9">
        <v>5</v>
      </c>
      <c r="B10" s="10"/>
      <c r="C10" s="13">
        <f>IF(($J$4="Twice"),"",IF(G6="3-0","0-3",IF(G6="3-1","1-3",IF(G6="3-2","2-3",IF(G6="2-3","3-2",IF(G6="1-3","3-1",IF(G6="0-3","3-0",IF(G6="Walkover won","Walkover lost",IF(G6="Walkover lost","Walkover won","")))))))))</f>
      </c>
      <c r="D10" s="13">
        <f>IF(($J$4="Twice"),"",IF(G7="3-0","0-3",IF(G7="3-1","1-3",IF(G7="3-2","2-3",IF(G7="2-3","3-2",IF(G7="1-3","3-1",IF(G7="0-3","3-0",IF(G7="Walkover won","Walkover lost",IF(G7="Walkover lost","Walkover won","")))))))))</f>
      </c>
      <c r="E10" s="13">
        <f>IF(($J$4="Twice"),"",IF(G8="3-0","0-3",IF(G8="3-1","1-3",IF(G8="3-2","2-3",IF(G8="2-3","3-2",IF(G8="1-3","3-1",IF(G8="0-3","3-0",IF(G8="Walkover won","Walkover lost",IF(G8="Walkover lost","Walkover won","")))))))))</f>
      </c>
      <c r="F10" s="13">
        <f>IF(($J$4="Twice"),"",IF(G9="3-0","0-3",IF(G9="3-1","1-3",IF(G9="3-2","2-3",IF(G9="2-3","3-2",IF(G9="1-3","3-1",IF(G9="0-3","3-0",IF(G9="Walkover won","Walkover lost",IF(G9="Walkover lost","Walkover won","")))))))))</f>
      </c>
      <c r="G10" s="14"/>
      <c r="H10" s="12"/>
      <c r="I10" s="12"/>
      <c r="J10" s="12"/>
      <c r="L10">
        <f>IF($B10="","",$B10)</f>
      </c>
      <c r="M10">
        <f>IF($L10="","",(COUNTIF($H$10:$J$10,"?*")+COUNTIF($G$6:$G$9,"?*")+($J$4="Twice")*(COUNTIF($C$10:$F$10,"?*")+COUNTIF($G$11:$G$13,"?*"))))</f>
      </c>
      <c r="N10">
        <f>IF($L10="","",(COUNTIF($H$10:$J$10,"3-*")+COUNTIF($G$6:$G$9,"?-3")+($J$4="Twice")*(COUNTIF($C$10:$F$10,"3-*")+COUNTIF($G$11:$G$13,"?-3")))+(COUNTIF($H$10:$J$10,"Walkover won")+COUNTIF($G$6:$G$9,"Walkover lost")+($J$4="Twice")*(COUNTIF($C$10:$F$10,"Walkover won")+COUNTIF($G$11:$G$13,"Walkover lost"))))</f>
      </c>
      <c r="O10">
        <f>IF($L10="","",(COUNTIF($H$10:$J$10,"1-3")+COUNTIF($G$6:$G$9,"3-1")+($J$4="Twice")*(COUNTIF($C$10:$F$10,"1-3")+COUNTIF($G$11:$G$13,"3-1")))+(COUNTIF($H$10:$J$10,"2-3")+COUNTIF($G$6:$G$9,"3-2")+($J$4="Twice")*(COUNTIF($C$10:$F$10,"2-3")+COUNTIF($G$11:$G$13,"3-2"))))</f>
      </c>
      <c r="P10">
        <f>IF($L10="","",(COUNTIF($H$10:$J$10,"0-3")+COUNTIF($G$6:$G$9,"3-0")+($J$4="Twice")*(COUNTIF($C$10:$F$10,"0-3")+COUNTIF($G$11:$G$13,"3-0"))))</f>
      </c>
      <c r="Q10">
        <f>IF($L10="","",(COUNTIF($H$10:$J$10,"Walkover won")+COUNTIF($G$6:$G$9,"Walkover lost")+($J$4="Twice")*(COUNTIF($C$10:$F$10,"Walkover won")+COUNTIF($G$11:$G$13,"Walkover lost"))))</f>
      </c>
      <c r="R10">
        <f>IF($L10="","",(COUNTIF($H$10:$J$10,"Walkover lost")+COUNTIF($G$6:$G$9,"Walkover won")+($J$4="Twice")*(COUNTIF($C$10:$F$10,"Walkover lost")+COUNTIF($G$11:$G$13,"Walkover won"))))</f>
      </c>
      <c r="S10">
        <f>IF($L10="","",3*(COUNTIF($H$10:$J$10,"3-*")+COUNTIF($G$6:$G$9,"?-3")+($J$4="Twice")*(COUNTIF($C$10:$F$10,"3-*")+COUNTIF($G$11:$G$13,"?-3")))+1*(COUNTIF($H$10:$J$10,"1-3")+COUNTIF($G$6:$G$9,"3-1")+($J$4="Twice")*(COUNTIF($C$10:$F$10,"1-3")+COUNTIF($G$11:$G$13,"3-1")))+2*(COUNTIF($H$10:$J$10,"2-3")+COUNTIF($G$6:$G$9,"3-2")+($J$4="Twice")*(COUNTIF($C$10:$F$10,"2-3")+COUNTIF($G$11:$G$13,"3-2")))+3*$Q10)</f>
      </c>
      <c r="T10">
        <f>IF($L10="","",1*(COUNTIF($H$10:$J$10,"3-1")+COUNTIF($G$6:$G$9,"1-3")+($J$4="Twice")*(COUNTIF($C$10:$F$10,"3-1")+COUNTIF($G$11:$G$13,"1-3")))+2*(COUNTIF($H$10:$J$10,"3-2")+COUNTIF($G$6:$G$9,"2-3")+($J$4="Twice")*(COUNTIF($C$10:$F$10,"3-2")+COUNTIF($G$11:$G$13,"2-3")))+3*(COUNTIF($H$10:$J$10,"?-3")+COUNTIF($G$6:$G$9,"3-*")+($J$4="Twice")*(COUNTIF($C$10:$F$10,"?-3")+COUNTIF($G$11:$G$13,"3-*")))+3*$R10)</f>
      </c>
      <c r="U10">
        <f>IF($L10="","",$N10*Settings!$C$5+$O10*Settings!$C$6+$P10*Settings!$C$7+$R10*Settings!$C$8)</f>
      </c>
      <c r="V10">
        <f>IF($L10="","",IF(AND($L$6&lt;&gt;"",$U$6=$U10),OR(RIGHT(G6,1)="3",G6="Walkover lost")*1+($J$4="Twice")*OR(LEFT(C10,1)="3",C10="Walkover won"),0)+IF(AND($L$7&lt;&gt;"",$U$7=$U10),OR(RIGHT(G7,1)="3",G7="Walkover lost")*1+($J$4="Twice")*OR(LEFT(D10,1)="3",D10="Walkover won"),0)+IF(AND($L$8&lt;&gt;"",$U$8=$U10),OR(RIGHT(G8,1)="3",G8="Walkover lost")*1+($J$4="Twice")*OR(LEFT(E10,1)="3",E10="Walkover won"),0)+IF(AND($L$9&lt;&gt;"",$U$9=$U10),OR(RIGHT(G9,1)="3",G9="Walkover lost")*1+($J$4="Twice")*OR(LEFT(F10,1)="3",F10="Walkover won"),0)+IF(AND($L$11&lt;&gt;"",$U$11=$U10),OR(LEFT(H10,1)="3",H10="Walkover won")*1+($J$4="Twice")*OR(RIGHT(G11,1)="3",G11="Walkover lost"),0)+IF(AND($L$12&lt;&gt;"",$U$12=$U10),OR(LEFT(I10,1)="3",I10="Walkover won")*1+($J$4="Twice")*OR(RIGHT(G12,1)="3",G12="Walkover lost"),0)+IF(AND($L$13&lt;&gt;"",$U$13=$U10),OR(LEFT(J10,1)="3",J10="Walkover won")*1+($J$4="Twice")*OR(RIGHT(G13,1)="3",G13="Walkover lost"),0))</f>
      </c>
      <c r="W10">
        <f>IF($L10="","",$U10*10000+$V10*1000+($S10-$T10+50)*10+4)</f>
      </c>
      <c r="X10">
        <f>IF($L10="","",1+COUNTIF($W$6:$W$13,"&gt;"&amp;$W10))</f>
      </c>
      <c r="Y10">
        <f>IF($L10="","",(COUNTIF($L$6:$L$13,"?*")-1)*(1+($J$4="Twice"))-$M10)</f>
      </c>
      <c r="Z10">
        <f>IF($L10="","",$O10+$P10+$R10)</f>
      </c>
      <c r="AA10">
        <f>IF(($J$4="Twice"),"1-3","")</f>
      </c>
    </row>
    <row r="11" ht="22" customHeight="1">
      <c r="A11" s="9">
        <v>6</v>
      </c>
      <c r="B11" s="10"/>
      <c r="C11" s="13">
        <f>IF(($J$4="Twice"),"",IF(H6="3-0","0-3",IF(H6="3-1","1-3",IF(H6="3-2","2-3",IF(H6="2-3","3-2",IF(H6="1-3","3-1",IF(H6="0-3","3-0",IF(H6="Walkover won","Walkover lost",IF(H6="Walkover lost","Walkover won","")))))))))</f>
      </c>
      <c r="D11" s="13">
        <f>IF(($J$4="Twice"),"",IF(H7="3-0","0-3",IF(H7="3-1","1-3",IF(H7="3-2","2-3",IF(H7="2-3","3-2",IF(H7="1-3","3-1",IF(H7="0-3","3-0",IF(H7="Walkover won","Walkover lost",IF(H7="Walkover lost","Walkover won","")))))))))</f>
      </c>
      <c r="E11" s="13">
        <f>IF(($J$4="Twice"),"",IF(H8="3-0","0-3",IF(H8="3-1","1-3",IF(H8="3-2","2-3",IF(H8="2-3","3-2",IF(H8="1-3","3-1",IF(H8="0-3","3-0",IF(H8="Walkover won","Walkover lost",IF(H8="Walkover lost","Walkover won","")))))))))</f>
      </c>
      <c r="F11" s="13">
        <f>IF(($J$4="Twice"),"",IF(H9="3-0","0-3",IF(H9="3-1","1-3",IF(H9="3-2","2-3",IF(H9="2-3","3-2",IF(H9="1-3","3-1",IF(H9="0-3","3-0",IF(H9="Walkover won","Walkover lost",IF(H9="Walkover lost","Walkover won","")))))))))</f>
      </c>
      <c r="G11" s="13">
        <f>IF(($J$4="Twice"),"",IF(H10="3-0","0-3",IF(H10="3-1","1-3",IF(H10="3-2","2-3",IF(H10="2-3","3-2",IF(H10="1-3","3-1",IF(H10="0-3","3-0",IF(H10="Walkover won","Walkover lost",IF(H10="Walkover lost","Walkover won","")))))))))</f>
      </c>
      <c r="H11" s="14"/>
      <c r="I11" s="12"/>
      <c r="J11" s="12"/>
      <c r="L11">
        <f>IF($B11="","",$B11)</f>
      </c>
      <c r="M11">
        <f>IF($L11="","",(COUNTIF($I$11:$J$11,"?*")+COUNTIF($H$6:$H$10,"?*")+($J$4="Twice")*(COUNTIF($C$11:$G$11,"?*")+COUNTIF($H$12:$H$13,"?*"))))</f>
      </c>
      <c r="N11">
        <f>IF($L11="","",(COUNTIF($I$11:$J$11,"3-*")+COUNTIF($H$6:$H$10,"?-3")+($J$4="Twice")*(COUNTIF($C$11:$G$11,"3-*")+COUNTIF($H$12:$H$13,"?-3")))+(COUNTIF($I$11:$J$11,"Walkover won")+COUNTIF($H$6:$H$10,"Walkover lost")+($J$4="Twice")*(COUNTIF($C$11:$G$11,"Walkover won")+COUNTIF($H$12:$H$13,"Walkover lost"))))</f>
      </c>
      <c r="O11">
        <f>IF($L11="","",(COUNTIF($I$11:$J$11,"1-3")+COUNTIF($H$6:$H$10,"3-1")+($J$4="Twice")*(COUNTIF($C$11:$G$11,"1-3")+COUNTIF($H$12:$H$13,"3-1")))+(COUNTIF($I$11:$J$11,"2-3")+COUNTIF($H$6:$H$10,"3-2")+($J$4="Twice")*(COUNTIF($C$11:$G$11,"2-3")+COUNTIF($H$12:$H$13,"3-2"))))</f>
      </c>
      <c r="P11">
        <f>IF($L11="","",(COUNTIF($I$11:$J$11,"0-3")+COUNTIF($H$6:$H$10,"3-0")+($J$4="Twice")*(COUNTIF($C$11:$G$11,"0-3")+COUNTIF($H$12:$H$13,"3-0"))))</f>
      </c>
      <c r="Q11">
        <f>IF($L11="","",(COUNTIF($I$11:$J$11,"Walkover won")+COUNTIF($H$6:$H$10,"Walkover lost")+($J$4="Twice")*(COUNTIF($C$11:$G$11,"Walkover won")+COUNTIF($H$12:$H$13,"Walkover lost"))))</f>
      </c>
      <c r="R11">
        <f>IF($L11="","",(COUNTIF($I$11:$J$11,"Walkover lost")+COUNTIF($H$6:$H$10,"Walkover won")+($J$4="Twice")*(COUNTIF($C$11:$G$11,"Walkover lost")+COUNTIF($H$12:$H$13,"Walkover won"))))</f>
      </c>
      <c r="S11">
        <f>IF($L11="","",3*(COUNTIF($I$11:$J$11,"3-*")+COUNTIF($H$6:$H$10,"?-3")+($J$4="Twice")*(COUNTIF($C$11:$G$11,"3-*")+COUNTIF($H$12:$H$13,"?-3")))+1*(COUNTIF($I$11:$J$11,"1-3")+COUNTIF($H$6:$H$10,"3-1")+($J$4="Twice")*(COUNTIF($C$11:$G$11,"1-3")+COUNTIF($H$12:$H$13,"3-1")))+2*(COUNTIF($I$11:$J$11,"2-3")+COUNTIF($H$6:$H$10,"3-2")+($J$4="Twice")*(COUNTIF($C$11:$G$11,"2-3")+COUNTIF($H$12:$H$13,"3-2")))+3*$Q11)</f>
      </c>
      <c r="T11">
        <f>IF($L11="","",1*(COUNTIF($I$11:$J$11,"3-1")+COUNTIF($H$6:$H$10,"1-3")+($J$4="Twice")*(COUNTIF($C$11:$G$11,"3-1")+COUNTIF($H$12:$H$13,"1-3")))+2*(COUNTIF($I$11:$J$11,"3-2")+COUNTIF($H$6:$H$10,"2-3")+($J$4="Twice")*(COUNTIF($C$11:$G$11,"3-2")+COUNTIF($H$12:$H$13,"2-3")))+3*(COUNTIF($I$11:$J$11,"?-3")+COUNTIF($H$6:$H$10,"3-*")+($J$4="Twice")*(COUNTIF($C$11:$G$11,"?-3")+COUNTIF($H$12:$H$13,"3-*")))+3*$R11)</f>
      </c>
      <c r="U11">
        <f>IF($L11="","",$N11*Settings!$C$5+$O11*Settings!$C$6+$P11*Settings!$C$7+$R11*Settings!$C$8)</f>
      </c>
      <c r="V11">
        <f>IF($L11="","",IF(AND($L$6&lt;&gt;"",$U$6=$U11),OR(RIGHT(H6,1)="3",H6="Walkover lost")*1+($J$4="Twice")*OR(LEFT(C11,1)="3",C11="Walkover won"),0)+IF(AND($L$7&lt;&gt;"",$U$7=$U11),OR(RIGHT(H7,1)="3",H7="Walkover lost")*1+($J$4="Twice")*OR(LEFT(D11,1)="3",D11="Walkover won"),0)+IF(AND($L$8&lt;&gt;"",$U$8=$U11),OR(RIGHT(H8,1)="3",H8="Walkover lost")*1+($J$4="Twice")*OR(LEFT(E11,1)="3",E11="Walkover won"),0)+IF(AND($L$9&lt;&gt;"",$U$9=$U11),OR(RIGHT(H9,1)="3",H9="Walkover lost")*1+($J$4="Twice")*OR(LEFT(F11,1)="3",F11="Walkover won"),0)+IF(AND($L$10&lt;&gt;"",$U$10=$U11),OR(RIGHT(H10,1)="3",H10="Walkover lost")*1+($J$4="Twice")*OR(LEFT(G11,1)="3",G11="Walkover won"),0)+IF(AND($L$12&lt;&gt;"",$U$12=$U11),OR(LEFT(I11,1)="3",I11="Walkover won")*1+($J$4="Twice")*OR(RIGHT(H12,1)="3",H12="Walkover lost"),0)+IF(AND($L$13&lt;&gt;"",$U$13=$U11),OR(LEFT(J11,1)="3",J11="Walkover won")*1+($J$4="Twice")*OR(RIGHT(H13,1)="3",H13="Walkover lost"),0))</f>
      </c>
      <c r="W11">
        <f>IF($L11="","",$U11*10000+$V11*1000+($S11-$T11+50)*10+3)</f>
      </c>
      <c r="X11">
        <f>IF($L11="","",1+COUNTIF($W$6:$W$13,"&gt;"&amp;$W11))</f>
      </c>
      <c r="Y11">
        <f>IF($L11="","",(COUNTIF($L$6:$L$13,"?*")-1)*(1+($J$4="Twice"))-$M11)</f>
      </c>
      <c r="Z11">
        <f>IF($L11="","",$O11+$P11+$R11)</f>
      </c>
      <c r="AA11">
        <f>IF(($J$4="Twice"),"0-3","")</f>
      </c>
    </row>
    <row r="12" ht="22" customHeight="1">
      <c r="A12" s="9">
        <v>7</v>
      </c>
      <c r="B12" s="10"/>
      <c r="C12" s="13">
        <f>IF(($J$4="Twice"),"",IF(I6="3-0","0-3",IF(I6="3-1","1-3",IF(I6="3-2","2-3",IF(I6="2-3","3-2",IF(I6="1-3","3-1",IF(I6="0-3","3-0",IF(I6="Walkover won","Walkover lost",IF(I6="Walkover lost","Walkover won","")))))))))</f>
      </c>
      <c r="D12" s="13">
        <f>IF(($J$4="Twice"),"",IF(I7="3-0","0-3",IF(I7="3-1","1-3",IF(I7="3-2","2-3",IF(I7="2-3","3-2",IF(I7="1-3","3-1",IF(I7="0-3","3-0",IF(I7="Walkover won","Walkover lost",IF(I7="Walkover lost","Walkover won","")))))))))</f>
      </c>
      <c r="E12" s="13">
        <f>IF(($J$4="Twice"),"",IF(I8="3-0","0-3",IF(I8="3-1","1-3",IF(I8="3-2","2-3",IF(I8="2-3","3-2",IF(I8="1-3","3-1",IF(I8="0-3","3-0",IF(I8="Walkover won","Walkover lost",IF(I8="Walkover lost","Walkover won","")))))))))</f>
      </c>
      <c r="F12" s="13">
        <f>IF(($J$4="Twice"),"",IF(I9="3-0","0-3",IF(I9="3-1","1-3",IF(I9="3-2","2-3",IF(I9="2-3","3-2",IF(I9="1-3","3-1",IF(I9="0-3","3-0",IF(I9="Walkover won","Walkover lost",IF(I9="Walkover lost","Walkover won","")))))))))</f>
      </c>
      <c r="G12" s="13">
        <f>IF(($J$4="Twice"),"",IF(I10="3-0","0-3",IF(I10="3-1","1-3",IF(I10="3-2","2-3",IF(I10="2-3","3-2",IF(I10="1-3","3-1",IF(I10="0-3","3-0",IF(I10="Walkover won","Walkover lost",IF(I10="Walkover lost","Walkover won","")))))))))</f>
      </c>
      <c r="H12" s="13">
        <f>IF(($J$4="Twice"),"",IF(I11="3-0","0-3",IF(I11="3-1","1-3",IF(I11="3-2","2-3",IF(I11="2-3","3-2",IF(I11="1-3","3-1",IF(I11="0-3","3-0",IF(I11="Walkover won","Walkover lost",IF(I11="Walkover lost","Walkover won","")))))))))</f>
      </c>
      <c r="I12" s="14"/>
      <c r="J12" s="12"/>
      <c r="L12">
        <f>IF($B12="","",$B12)</f>
      </c>
      <c r="M12">
        <f>IF($L12="","",(COUNTIF($J$12:$J$12,"?*")+COUNTIF($I$6:$I$11,"?*")+($J$4="Twice")*(COUNTIF($C$12:$H$12,"?*")+COUNTIF($I$13:$I$13,"?*"))))</f>
      </c>
      <c r="N12">
        <f>IF($L12="","",(COUNTIF($J$12:$J$12,"3-*")+COUNTIF($I$6:$I$11,"?-3")+($J$4="Twice")*(COUNTIF($C$12:$H$12,"3-*")+COUNTIF($I$13:$I$13,"?-3")))+(COUNTIF($J$12:$J$12,"Walkover won")+COUNTIF($I$6:$I$11,"Walkover lost")+($J$4="Twice")*(COUNTIF($C$12:$H$12,"Walkover won")+COUNTIF($I$13:$I$13,"Walkover lost"))))</f>
      </c>
      <c r="O12">
        <f>IF($L12="","",(COUNTIF($J$12:$J$12,"1-3")+COUNTIF($I$6:$I$11,"3-1")+($J$4="Twice")*(COUNTIF($C$12:$H$12,"1-3")+COUNTIF($I$13:$I$13,"3-1")))+(COUNTIF($J$12:$J$12,"2-3")+COUNTIF($I$6:$I$11,"3-2")+($J$4="Twice")*(COUNTIF($C$12:$H$12,"2-3")+COUNTIF($I$13:$I$13,"3-2"))))</f>
      </c>
      <c r="P12">
        <f>IF($L12="","",(COUNTIF($J$12:$J$12,"0-3")+COUNTIF($I$6:$I$11,"3-0")+($J$4="Twice")*(COUNTIF($C$12:$H$12,"0-3")+COUNTIF($I$13:$I$13,"3-0"))))</f>
      </c>
      <c r="Q12">
        <f>IF($L12="","",(COUNTIF($J$12:$J$12,"Walkover won")+COUNTIF($I$6:$I$11,"Walkover lost")+($J$4="Twice")*(COUNTIF($C$12:$H$12,"Walkover won")+COUNTIF($I$13:$I$13,"Walkover lost"))))</f>
      </c>
      <c r="R12">
        <f>IF($L12="","",(COUNTIF($J$12:$J$12,"Walkover lost")+COUNTIF($I$6:$I$11,"Walkover won")+($J$4="Twice")*(COUNTIF($C$12:$H$12,"Walkover lost")+COUNTIF($I$13:$I$13,"Walkover won"))))</f>
      </c>
      <c r="S12">
        <f>IF($L12="","",3*(COUNTIF($J$12:$J$12,"3-*")+COUNTIF($I$6:$I$11,"?-3")+($J$4="Twice")*(COUNTIF($C$12:$H$12,"3-*")+COUNTIF($I$13:$I$13,"?-3")))+1*(COUNTIF($J$12:$J$12,"1-3")+COUNTIF($I$6:$I$11,"3-1")+($J$4="Twice")*(COUNTIF($C$12:$H$12,"1-3")+COUNTIF($I$13:$I$13,"3-1")))+2*(COUNTIF($J$12:$J$12,"2-3")+COUNTIF($I$6:$I$11,"3-2")+($J$4="Twice")*(COUNTIF($C$12:$H$12,"2-3")+COUNTIF($I$13:$I$13,"3-2")))+3*$Q12)</f>
      </c>
      <c r="T12">
        <f>IF($L12="","",1*(COUNTIF($J$12:$J$12,"3-1")+COUNTIF($I$6:$I$11,"1-3")+($J$4="Twice")*(COUNTIF($C$12:$H$12,"3-1")+COUNTIF($I$13:$I$13,"1-3")))+2*(COUNTIF($J$12:$J$12,"3-2")+COUNTIF($I$6:$I$11,"2-3")+($J$4="Twice")*(COUNTIF($C$12:$H$12,"3-2")+COUNTIF($I$13:$I$13,"2-3")))+3*(COUNTIF($J$12:$J$12,"?-3")+COUNTIF($I$6:$I$11,"3-*")+($J$4="Twice")*(COUNTIF($C$12:$H$12,"?-3")+COUNTIF($I$13:$I$13,"3-*")))+3*$R12)</f>
      </c>
      <c r="U12">
        <f>IF($L12="","",$N12*Settings!$C$5+$O12*Settings!$C$6+$P12*Settings!$C$7+$R12*Settings!$C$8)</f>
      </c>
      <c r="V12">
        <f>IF($L12="","",IF(AND($L$6&lt;&gt;"",$U$6=$U12),OR(RIGHT(I6,1)="3",I6="Walkover lost")*1+($J$4="Twice")*OR(LEFT(C12,1)="3",C12="Walkover won"),0)+IF(AND($L$7&lt;&gt;"",$U$7=$U12),OR(RIGHT(I7,1)="3",I7="Walkover lost")*1+($J$4="Twice")*OR(LEFT(D12,1)="3",D12="Walkover won"),0)+IF(AND($L$8&lt;&gt;"",$U$8=$U12),OR(RIGHT(I8,1)="3",I8="Walkover lost")*1+($J$4="Twice")*OR(LEFT(E12,1)="3",E12="Walkover won"),0)+IF(AND($L$9&lt;&gt;"",$U$9=$U12),OR(RIGHT(I9,1)="3",I9="Walkover lost")*1+($J$4="Twice")*OR(LEFT(F12,1)="3",F12="Walkover won"),0)+IF(AND($L$10&lt;&gt;"",$U$10=$U12),OR(RIGHT(I10,1)="3",I10="Walkover lost")*1+($J$4="Twice")*OR(LEFT(G12,1)="3",G12="Walkover won"),0)+IF(AND($L$11&lt;&gt;"",$U$11=$U12),OR(RIGHT(I11,1)="3",I11="Walkover lost")*1+($J$4="Twice")*OR(LEFT(H12,1)="3",H12="Walkover won"),0)+IF(AND($L$13&lt;&gt;"",$U$13=$U12),OR(LEFT(J12,1)="3",J12="Walkover won")*1+($J$4="Twice")*OR(RIGHT(I13,1)="3",I13="Walkover lost"),0))</f>
      </c>
      <c r="W12">
        <f>IF($L12="","",$U12*10000+$V12*1000+($S12-$T12+50)*10+2)</f>
      </c>
      <c r="X12">
        <f>IF($L12="","",1+COUNTIF($W$6:$W$13,"&gt;"&amp;$W12))</f>
      </c>
      <c r="Y12">
        <f>IF($L12="","",(COUNTIF($L$6:$L$13,"?*")-1)*(1+($J$4="Twice"))-$M12)</f>
      </c>
      <c r="Z12">
        <f>IF($L12="","",$O12+$P12+$R12)</f>
      </c>
      <c r="AA12">
        <f>IF(($J$4="Twice"),"Walkover won","")</f>
      </c>
    </row>
    <row r="13" ht="22" customHeight="1">
      <c r="A13" s="9">
        <v>8</v>
      </c>
      <c r="B13" s="10"/>
      <c r="C13" s="13">
        <f>IF(($J$4="Twice"),"",IF(J6="3-0","0-3",IF(J6="3-1","1-3",IF(J6="3-2","2-3",IF(J6="2-3","3-2",IF(J6="1-3","3-1",IF(J6="0-3","3-0",IF(J6="Walkover won","Walkover lost",IF(J6="Walkover lost","Walkover won","")))))))))</f>
      </c>
      <c r="D13" s="13">
        <f>IF(($J$4="Twice"),"",IF(J7="3-0","0-3",IF(J7="3-1","1-3",IF(J7="3-2","2-3",IF(J7="2-3","3-2",IF(J7="1-3","3-1",IF(J7="0-3","3-0",IF(J7="Walkover won","Walkover lost",IF(J7="Walkover lost","Walkover won","")))))))))</f>
      </c>
      <c r="E13" s="13">
        <f>IF(($J$4="Twice"),"",IF(J8="3-0","0-3",IF(J8="3-1","1-3",IF(J8="3-2","2-3",IF(J8="2-3","3-2",IF(J8="1-3","3-1",IF(J8="0-3","3-0",IF(J8="Walkover won","Walkover lost",IF(J8="Walkover lost","Walkover won","")))))))))</f>
      </c>
      <c r="F13" s="13">
        <f>IF(($J$4="Twice"),"",IF(J9="3-0","0-3",IF(J9="3-1","1-3",IF(J9="3-2","2-3",IF(J9="2-3","3-2",IF(J9="1-3","3-1",IF(J9="0-3","3-0",IF(J9="Walkover won","Walkover lost",IF(J9="Walkover lost","Walkover won","")))))))))</f>
      </c>
      <c r="G13" s="13">
        <f>IF(($J$4="Twice"),"",IF(J10="3-0","0-3",IF(J10="3-1","1-3",IF(J10="3-2","2-3",IF(J10="2-3","3-2",IF(J10="1-3","3-1",IF(J10="0-3","3-0",IF(J10="Walkover won","Walkover lost",IF(J10="Walkover lost","Walkover won","")))))))))</f>
      </c>
      <c r="H13" s="13">
        <f>IF(($J$4="Twice"),"",IF(J11="3-0","0-3",IF(J11="3-1","1-3",IF(J11="3-2","2-3",IF(J11="2-3","3-2",IF(J11="1-3","3-1",IF(J11="0-3","3-0",IF(J11="Walkover won","Walkover lost",IF(J11="Walkover lost","Walkover won","")))))))))</f>
      </c>
      <c r="I13" s="13">
        <f>IF(($J$4="Twice"),"",IF(J12="3-0","0-3",IF(J12="3-1","1-3",IF(J12="3-2","2-3",IF(J12="2-3","3-2",IF(J12="1-3","3-1",IF(J12="0-3","3-0",IF(J12="Walkover won","Walkover lost",IF(J12="Walkover lost","Walkover won","")))))))))</f>
      </c>
      <c r="J13" s="14"/>
      <c r="L13">
        <f>IF($B13="","",$B13)</f>
      </c>
      <c r="M13">
        <f>IF($L13="","",(0+COUNTIF($J$6:$J$12,"?*")+($J$4="Twice")*(COUNTIF($C$13:$I$13,"?*")+0)))</f>
      </c>
      <c r="N13">
        <f>IF($L13="","",(0+COUNTIF($J$6:$J$12,"?-3")+($J$4="Twice")*(COUNTIF($C$13:$I$13,"3-*")+0))+(0+COUNTIF($J$6:$J$12,"Walkover lost")+($J$4="Twice")*(COUNTIF($C$13:$I$13,"Walkover won")+0)))</f>
      </c>
      <c r="O13">
        <f>IF($L13="","",(0+COUNTIF($J$6:$J$12,"3-1")+($J$4="Twice")*(COUNTIF($C$13:$I$13,"1-3")+0))+(0+COUNTIF($J$6:$J$12,"3-2")+($J$4="Twice")*(COUNTIF($C$13:$I$13,"2-3")+0)))</f>
      </c>
      <c r="P13">
        <f>IF($L13="","",(0+COUNTIF($J$6:$J$12,"3-0")+($J$4="Twice")*(COUNTIF($C$13:$I$13,"0-3")+0)))</f>
      </c>
      <c r="Q13">
        <f>IF($L13="","",(0+COUNTIF($J$6:$J$12,"Walkover lost")+($J$4="Twice")*(COUNTIF($C$13:$I$13,"Walkover won")+0)))</f>
      </c>
      <c r="R13">
        <f>IF($L13="","",(0+COUNTIF($J$6:$J$12,"Walkover won")+($J$4="Twice")*(COUNTIF($C$13:$I$13,"Walkover lost")+0)))</f>
      </c>
      <c r="S13">
        <f>IF($L13="","",3*(0+COUNTIF($J$6:$J$12,"?-3")+($J$4="Twice")*(COUNTIF($C$13:$I$13,"3-*")+0))+1*(0+COUNTIF($J$6:$J$12,"3-1")+($J$4="Twice")*(COUNTIF($C$13:$I$13,"1-3")+0))+2*(0+COUNTIF($J$6:$J$12,"3-2")+($J$4="Twice")*(COUNTIF($C$13:$I$13,"2-3")+0))+3*$Q13)</f>
      </c>
      <c r="T13">
        <f>IF($L13="","",1*(0+COUNTIF($J$6:$J$12,"1-3")+($J$4="Twice")*(COUNTIF($C$13:$I$13,"3-1")+0))+2*(0+COUNTIF($J$6:$J$12,"2-3")+($J$4="Twice")*(COUNTIF($C$13:$I$13,"3-2")+0))+3*(0+COUNTIF($J$6:$J$12,"3-*")+($J$4="Twice")*(COUNTIF($C$13:$I$13,"?-3")+0))+3*$R13)</f>
      </c>
      <c r="U13">
        <f>IF($L13="","",$N13*Settings!$C$5+$O13*Settings!$C$6+$P13*Settings!$C$7+$R13*Settings!$C$8)</f>
      </c>
      <c r="V13">
        <f>IF($L13="","",IF(AND($L$6&lt;&gt;"",$U$6=$U13),OR(RIGHT(J6,1)="3",J6="Walkover lost")*1+($J$4="Twice")*OR(LEFT(C13,1)="3",C13="Walkover won"),0)+IF(AND($L$7&lt;&gt;"",$U$7=$U13),OR(RIGHT(J7,1)="3",J7="Walkover lost")*1+($J$4="Twice")*OR(LEFT(D13,1)="3",D13="Walkover won"),0)+IF(AND($L$8&lt;&gt;"",$U$8=$U13),OR(RIGHT(J8,1)="3",J8="Walkover lost")*1+($J$4="Twice")*OR(LEFT(E13,1)="3",E13="Walkover won"),0)+IF(AND($L$9&lt;&gt;"",$U$9=$U13),OR(RIGHT(J9,1)="3",J9="Walkover lost")*1+($J$4="Twice")*OR(LEFT(F13,1)="3",F13="Walkover won"),0)+IF(AND($L$10&lt;&gt;"",$U$10=$U13),OR(RIGHT(J10,1)="3",J10="Walkover lost")*1+($J$4="Twice")*OR(LEFT(G13,1)="3",G13="Walkover won"),0)+IF(AND($L$11&lt;&gt;"",$U$11=$U13),OR(RIGHT(J11,1)="3",J11="Walkover lost")*1+($J$4="Twice")*OR(LEFT(H13,1)="3",H13="Walkover won"),0)+IF(AND($L$12&lt;&gt;"",$U$12=$U13),OR(RIGHT(J12,1)="3",J12="Walkover lost")*1+($J$4="Twice")*OR(LEFT(I13,1)="3",I13="Walkover won"),0))</f>
      </c>
      <c r="W13">
        <f>IF($L13="","",$U13*10000+$V13*1000+($S13-$T13+50)*10+1)</f>
      </c>
      <c r="X13">
        <f>IF($L13="","",1+COUNTIF($W$6:$W$13,"&gt;"&amp;$W13))</f>
      </c>
      <c r="Y13">
        <f>IF($L13="","",(COUNTIF($L$6:$L$13,"?*")-1)*(1+($J$4="Twice"))-$M13)</f>
      </c>
      <c r="Z13">
        <f>IF($L13="","",$O13+$P13+$R13)</f>
      </c>
      <c r="AA13">
        <f>IF(($J$4="Twice"),"Walkover lost","")</f>
      </c>
    </row>
    <row r="14" ht="30" customHeight="1">
      <c r="A14" s="6">
        <f>IF(($J$4="Twice"),"Playing twice: the first match goes above the dark diagonal and the second below it, both from the row player's side. Green is a win, amber a loss having won a game, red a loss.","Playing once: pick each result above the dark diagonal, from the row player's side, and the grey half below fills itself in. Green is a win, amber a loss having won a game, red a loss.")</f>
      </c>
    </row>
    <row r="15"/>
    <row r="16">
      <c r="A16" s="5" t="inlineStr">
        <is>
          <t xml:space="preserve">The table</t>
        </is>
      </c>
      <c r="B16" s="5"/>
      <c r="C16" s="5"/>
      <c r="D16" s="5"/>
      <c r="E16" s="5"/>
      <c r="F16" s="5"/>
      <c r="G16" s="5"/>
      <c r="H16" s="5"/>
      <c r="I16" s="5"/>
      <c r="J16" s="5"/>
    </row>
    <row r="17" ht="24" customHeight="1">
      <c r="A17" s="7" t="inlineStr">
        <is>
          <t xml:space="preserve">Place</t>
        </is>
      </c>
      <c r="B17" s="8" t="inlineStr">
        <is>
          <t xml:space="preserve">Player</t>
        </is>
      </c>
      <c r="C17" s="7" t="inlineStr">
        <is>
          <t xml:space="preserve">Played</t>
        </is>
      </c>
      <c r="D17" s="7" t="inlineStr">
        <is>
          <t xml:space="preserve">Won</t>
        </is>
      </c>
      <c r="E17" s="7" t="inlineStr">
        <is>
          <t xml:space="preserve">Lost</t>
        </is>
      </c>
      <c r="F17" s="7" t="inlineStr">
        <is>
          <t xml:space="preserve">Games</t>
        </is>
      </c>
      <c r="G17" s="7" t="inlineStr">
        <is>
          <t xml:space="preserve">Points</t>
        </is>
      </c>
      <c r="H17" s="7" t="inlineStr">
        <is>
          <t xml:space="preserve">Left</t>
        </is>
      </c>
      <c r="I17" s="7" t="inlineStr">
        <is>
          <t xml:space="preserve">Moves</t>
        </is>
      </c>
      <c r="J17" s="7"/>
    </row>
    <row r="18" ht="22" customHeight="1">
      <c r="A18" s="17">
        <f>IF(1&gt;COUNTIF($L$6:$L$13,"?*"),"",1)</f>
      </c>
      <c r="B18" s="16">
        <f>IF($A18="","",INDEX($L$6:$L$13,MATCH(1,$X$6:$X$13,0)))</f>
      </c>
      <c r="C18" s="15">
        <f>IF($A18="","",INDEX($M$6:$M$13,MATCH(1,$X$6:$X$13,0)))</f>
      </c>
      <c r="D18" s="15">
        <f>IF($A18="","",INDEX($N$6:$N$13,MATCH(1,$X$6:$X$13,0)))</f>
      </c>
      <c r="E18" s="15">
        <f>IF($A18="","",INDEX($Z$6:$Z$13,MATCH(1,$X$6:$X$13,0)))</f>
      </c>
      <c r="F18" s="15">
        <f>IF($A18="","",INDEX($S$6:$S$13,MATCH(1,$X$6:$X$13,0))&amp;"-"&amp;INDEX($T$6:$T$13,MATCH(1,$X$6:$X$13,0)))</f>
      </c>
      <c r="G18" s="18">
        <f>IF($A18="","",INDEX($U$6:$U$13,MATCH(1,$X$6:$X$13,0)))</f>
      </c>
      <c r="H18" s="15">
        <f>IF($A18="","",INDEX($Y$6:$Y$13,MATCH(1,$X$6:$X$13,0)))</f>
      </c>
      <c r="I18" s="15">
        <f>IF($A18="","",IF(AND($A18&lt;=Settings!$C$11,INDEX($M$6:$M$13,MATCH(1,$X$6:$X$13,0))&gt;=Settings!$C$13),"Up",IF(AND(3&lt;Settings!$C$14,$A18&gt;COUNTIF($L$6:$L$13,"?*")-Settings!$C$12),"Down","")))</f>
      </c>
      <c r="J18" s="15"/>
    </row>
    <row r="19" ht="22" customHeight="1">
      <c r="A19" s="17">
        <f>IF(2&gt;COUNTIF($L$6:$L$13,"?*"),"",2)</f>
      </c>
      <c r="B19" s="16">
        <f>IF($A19="","",INDEX($L$6:$L$13,MATCH(2,$X$6:$X$13,0)))</f>
      </c>
      <c r="C19" s="15">
        <f>IF($A19="","",INDEX($M$6:$M$13,MATCH(2,$X$6:$X$13,0)))</f>
      </c>
      <c r="D19" s="15">
        <f>IF($A19="","",INDEX($N$6:$N$13,MATCH(2,$X$6:$X$13,0)))</f>
      </c>
      <c r="E19" s="15">
        <f>IF($A19="","",INDEX($Z$6:$Z$13,MATCH(2,$X$6:$X$13,0)))</f>
      </c>
      <c r="F19" s="15">
        <f>IF($A19="","",INDEX($S$6:$S$13,MATCH(2,$X$6:$X$13,0))&amp;"-"&amp;INDEX($T$6:$T$13,MATCH(2,$X$6:$X$13,0)))</f>
      </c>
      <c r="G19" s="18">
        <f>IF($A19="","",INDEX($U$6:$U$13,MATCH(2,$X$6:$X$13,0)))</f>
      </c>
      <c r="H19" s="15">
        <f>IF($A19="","",INDEX($Y$6:$Y$13,MATCH(2,$X$6:$X$13,0)))</f>
      </c>
      <c r="I19" s="15">
        <f>IF($A19="","",IF(AND($A19&lt;=Settings!$C$11,INDEX($M$6:$M$13,MATCH(2,$X$6:$X$13,0))&gt;=Settings!$C$13),"Up",IF(AND(3&lt;Settings!$C$14,$A19&gt;COUNTIF($L$6:$L$13,"?*")-Settings!$C$12),"Down","")))</f>
      </c>
      <c r="J19" s="15"/>
    </row>
    <row r="20" ht="22" customHeight="1">
      <c r="A20" s="17">
        <f>IF(3&gt;COUNTIF($L$6:$L$13,"?*"),"",3)</f>
      </c>
      <c r="B20" s="16">
        <f>IF($A20="","",INDEX($L$6:$L$13,MATCH(3,$X$6:$X$13,0)))</f>
      </c>
      <c r="C20" s="15">
        <f>IF($A20="","",INDEX($M$6:$M$13,MATCH(3,$X$6:$X$13,0)))</f>
      </c>
      <c r="D20" s="15">
        <f>IF($A20="","",INDEX($N$6:$N$13,MATCH(3,$X$6:$X$13,0)))</f>
      </c>
      <c r="E20" s="15">
        <f>IF($A20="","",INDEX($Z$6:$Z$13,MATCH(3,$X$6:$X$13,0)))</f>
      </c>
      <c r="F20" s="15">
        <f>IF($A20="","",INDEX($S$6:$S$13,MATCH(3,$X$6:$X$13,0))&amp;"-"&amp;INDEX($T$6:$T$13,MATCH(3,$X$6:$X$13,0)))</f>
      </c>
      <c r="G20" s="18">
        <f>IF($A20="","",INDEX($U$6:$U$13,MATCH(3,$X$6:$X$13,0)))</f>
      </c>
      <c r="H20" s="15">
        <f>IF($A20="","",INDEX($Y$6:$Y$13,MATCH(3,$X$6:$X$13,0)))</f>
      </c>
      <c r="I20" s="15">
        <f>IF($A20="","",IF(AND($A20&lt;=Settings!$C$11,INDEX($M$6:$M$13,MATCH(3,$X$6:$X$13,0))&gt;=Settings!$C$13),"Up",IF(AND(3&lt;Settings!$C$14,$A20&gt;COUNTIF($L$6:$L$13,"?*")-Settings!$C$12),"Down","")))</f>
      </c>
      <c r="J20" s="15"/>
    </row>
    <row r="21" ht="22" customHeight="1">
      <c r="A21" s="17">
        <f>IF(4&gt;COUNTIF($L$6:$L$13,"?*"),"",4)</f>
      </c>
      <c r="B21" s="16">
        <f>IF($A21="","",INDEX($L$6:$L$13,MATCH(4,$X$6:$X$13,0)))</f>
      </c>
      <c r="C21" s="15">
        <f>IF($A21="","",INDEX($M$6:$M$13,MATCH(4,$X$6:$X$13,0)))</f>
      </c>
      <c r="D21" s="15">
        <f>IF($A21="","",INDEX($N$6:$N$13,MATCH(4,$X$6:$X$13,0)))</f>
      </c>
      <c r="E21" s="15">
        <f>IF($A21="","",INDEX($Z$6:$Z$13,MATCH(4,$X$6:$X$13,0)))</f>
      </c>
      <c r="F21" s="15">
        <f>IF($A21="","",INDEX($S$6:$S$13,MATCH(4,$X$6:$X$13,0))&amp;"-"&amp;INDEX($T$6:$T$13,MATCH(4,$X$6:$X$13,0)))</f>
      </c>
      <c r="G21" s="18">
        <f>IF($A21="","",INDEX($U$6:$U$13,MATCH(4,$X$6:$X$13,0)))</f>
      </c>
      <c r="H21" s="15">
        <f>IF($A21="","",INDEX($Y$6:$Y$13,MATCH(4,$X$6:$X$13,0)))</f>
      </c>
      <c r="I21" s="15">
        <f>IF($A21="","",IF(AND($A21&lt;=Settings!$C$11,INDEX($M$6:$M$13,MATCH(4,$X$6:$X$13,0))&gt;=Settings!$C$13),"Up",IF(AND(3&lt;Settings!$C$14,$A21&gt;COUNTIF($L$6:$L$13,"?*")-Settings!$C$12),"Down","")))</f>
      </c>
      <c r="J21" s="15"/>
    </row>
    <row r="22" ht="22" customHeight="1">
      <c r="A22" s="17">
        <f>IF(5&gt;COUNTIF($L$6:$L$13,"?*"),"",5)</f>
      </c>
      <c r="B22" s="16">
        <f>IF($A22="","",INDEX($L$6:$L$13,MATCH(5,$X$6:$X$13,0)))</f>
      </c>
      <c r="C22" s="15">
        <f>IF($A22="","",INDEX($M$6:$M$13,MATCH(5,$X$6:$X$13,0)))</f>
      </c>
      <c r="D22" s="15">
        <f>IF($A22="","",INDEX($N$6:$N$13,MATCH(5,$X$6:$X$13,0)))</f>
      </c>
      <c r="E22" s="15">
        <f>IF($A22="","",INDEX($Z$6:$Z$13,MATCH(5,$X$6:$X$13,0)))</f>
      </c>
      <c r="F22" s="15">
        <f>IF($A22="","",INDEX($S$6:$S$13,MATCH(5,$X$6:$X$13,0))&amp;"-"&amp;INDEX($T$6:$T$13,MATCH(5,$X$6:$X$13,0)))</f>
      </c>
      <c r="G22" s="18">
        <f>IF($A22="","",INDEX($U$6:$U$13,MATCH(5,$X$6:$X$13,0)))</f>
      </c>
      <c r="H22" s="15">
        <f>IF($A22="","",INDEX($Y$6:$Y$13,MATCH(5,$X$6:$X$13,0)))</f>
      </c>
      <c r="I22" s="15">
        <f>IF($A22="","",IF(AND($A22&lt;=Settings!$C$11,INDEX($M$6:$M$13,MATCH(5,$X$6:$X$13,0))&gt;=Settings!$C$13),"Up",IF(AND(3&lt;Settings!$C$14,$A22&gt;COUNTIF($L$6:$L$13,"?*")-Settings!$C$12),"Down","")))</f>
      </c>
      <c r="J22" s="15"/>
    </row>
    <row r="23" ht="22" customHeight="1">
      <c r="A23" s="17">
        <f>IF(6&gt;COUNTIF($L$6:$L$13,"?*"),"",6)</f>
      </c>
      <c r="B23" s="16">
        <f>IF($A23="","",INDEX($L$6:$L$13,MATCH(6,$X$6:$X$13,0)))</f>
      </c>
      <c r="C23" s="15">
        <f>IF($A23="","",INDEX($M$6:$M$13,MATCH(6,$X$6:$X$13,0)))</f>
      </c>
      <c r="D23" s="15">
        <f>IF($A23="","",INDEX($N$6:$N$13,MATCH(6,$X$6:$X$13,0)))</f>
      </c>
      <c r="E23" s="15">
        <f>IF($A23="","",INDEX($Z$6:$Z$13,MATCH(6,$X$6:$X$13,0)))</f>
      </c>
      <c r="F23" s="15">
        <f>IF($A23="","",INDEX($S$6:$S$13,MATCH(6,$X$6:$X$13,0))&amp;"-"&amp;INDEX($T$6:$T$13,MATCH(6,$X$6:$X$13,0)))</f>
      </c>
      <c r="G23" s="18">
        <f>IF($A23="","",INDEX($U$6:$U$13,MATCH(6,$X$6:$X$13,0)))</f>
      </c>
      <c r="H23" s="15">
        <f>IF($A23="","",INDEX($Y$6:$Y$13,MATCH(6,$X$6:$X$13,0)))</f>
      </c>
      <c r="I23" s="15">
        <f>IF($A23="","",IF(AND($A23&lt;=Settings!$C$11,INDEX($M$6:$M$13,MATCH(6,$X$6:$X$13,0))&gt;=Settings!$C$13),"Up",IF(AND(3&lt;Settings!$C$14,$A23&gt;COUNTIF($L$6:$L$13,"?*")-Settings!$C$12),"Down","")))</f>
      </c>
      <c r="J23" s="15"/>
    </row>
    <row r="24" ht="22" customHeight="1">
      <c r="A24" s="17">
        <f>IF(7&gt;COUNTIF($L$6:$L$13,"?*"),"",7)</f>
      </c>
      <c r="B24" s="16">
        <f>IF($A24="","",INDEX($L$6:$L$13,MATCH(7,$X$6:$X$13,0)))</f>
      </c>
      <c r="C24" s="15">
        <f>IF($A24="","",INDEX($M$6:$M$13,MATCH(7,$X$6:$X$13,0)))</f>
      </c>
      <c r="D24" s="15">
        <f>IF($A24="","",INDEX($N$6:$N$13,MATCH(7,$X$6:$X$13,0)))</f>
      </c>
      <c r="E24" s="15">
        <f>IF($A24="","",INDEX($Z$6:$Z$13,MATCH(7,$X$6:$X$13,0)))</f>
      </c>
      <c r="F24" s="15">
        <f>IF($A24="","",INDEX($S$6:$S$13,MATCH(7,$X$6:$X$13,0))&amp;"-"&amp;INDEX($T$6:$T$13,MATCH(7,$X$6:$X$13,0)))</f>
      </c>
      <c r="G24" s="18">
        <f>IF($A24="","",INDEX($U$6:$U$13,MATCH(7,$X$6:$X$13,0)))</f>
      </c>
      <c r="H24" s="15">
        <f>IF($A24="","",INDEX($Y$6:$Y$13,MATCH(7,$X$6:$X$13,0)))</f>
      </c>
      <c r="I24" s="15">
        <f>IF($A24="","",IF(AND($A24&lt;=Settings!$C$11,INDEX($M$6:$M$13,MATCH(7,$X$6:$X$13,0))&gt;=Settings!$C$13),"Up",IF(AND(3&lt;Settings!$C$14,$A24&gt;COUNTIF($L$6:$L$13,"?*")-Settings!$C$12),"Down","")))</f>
      </c>
      <c r="J24" s="15"/>
    </row>
    <row r="25" ht="22" customHeight="1">
      <c r="A25" s="17">
        <f>IF(8&gt;COUNTIF($L$6:$L$13,"?*"),"",8)</f>
      </c>
      <c r="B25" s="16">
        <f>IF($A25="","",INDEX($L$6:$L$13,MATCH(8,$X$6:$X$13,0)))</f>
      </c>
      <c r="C25" s="15">
        <f>IF($A25="","",INDEX($M$6:$M$13,MATCH(8,$X$6:$X$13,0)))</f>
      </c>
      <c r="D25" s="15">
        <f>IF($A25="","",INDEX($N$6:$N$13,MATCH(8,$X$6:$X$13,0)))</f>
      </c>
      <c r="E25" s="15">
        <f>IF($A25="","",INDEX($Z$6:$Z$13,MATCH(8,$X$6:$X$13,0)))</f>
      </c>
      <c r="F25" s="15">
        <f>IF($A25="","",INDEX($S$6:$S$13,MATCH(8,$X$6:$X$13,0))&amp;"-"&amp;INDEX($T$6:$T$13,MATCH(8,$X$6:$X$13,0)))</f>
      </c>
      <c r="G25" s="18">
        <f>IF($A25="","",INDEX($U$6:$U$13,MATCH(8,$X$6:$X$13,0)))</f>
      </c>
      <c r="H25" s="15">
        <f>IF($A25="","",INDEX($Y$6:$Y$13,MATCH(8,$X$6:$X$13,0)))</f>
      </c>
      <c r="I25" s="15">
        <f>IF($A25="","",IF(AND($A25&lt;=Settings!$C$11,INDEX($M$6:$M$13,MATCH(8,$X$6:$X$13,0))&gt;=Settings!$C$13),"Up",IF(AND(3&lt;Settings!$C$14,$A25&gt;COUNTIF($L$6:$L$13,"?*")-Settings!$C$12),"Down","")))</f>
      </c>
      <c r="J25" s="15"/>
    </row>
    <row r="26"/>
    <row r="27" ht="30" customHeight="1">
      <c r="A27" s="6" t="inlineStr">
        <is>
          <t xml:space="preserve">Level on points: the result between the players decides, then game difference, then the order the names were typed. Up and Down follow the Settings tab.</t>
        </is>
      </c>
    </row>
    <row r="28"/>
    <row r="29" ht="32" customHeight="1">
      <c r="A29" s="2" t="inlineStr">
        <is>
          <t xml:space="preserve">Made with Clayside's free squash box league spreadsheet. Let the players enter the scores instead.</t>
        </is>
      </c>
      <c r="B29" s="2"/>
      <c r="C29" s="2"/>
      <c r="D29" s="2"/>
      <c r="E29" s="2"/>
      <c r="F29" s="2"/>
      <c r="G29" s="2"/>
      <c r="H29" s="2"/>
      <c r="I29" s="4" t="inlineStr">
        <is>
          <t xml:space="preserve">clayside.app</t>
        </is>
      </c>
      <c r="J29" s="4"/>
    </row>
  </sheetData>
  <mergeCells count="17">
    <mergeCell ref="A2:J2"/>
    <mergeCell ref="A4:G4"/>
    <mergeCell ref="H4:I4"/>
    <mergeCell ref="A14:J14"/>
    <mergeCell ref="A16:J16"/>
    <mergeCell ref="I17:J17"/>
    <mergeCell ref="A27:J27"/>
    <mergeCell ref="A29:H29"/>
    <mergeCell ref="I29:J29"/>
    <mergeCell ref="I18:J18"/>
    <mergeCell ref="I19:J19"/>
    <mergeCell ref="I20:J20"/>
    <mergeCell ref="I21:J21"/>
    <mergeCell ref="I22:J22"/>
    <mergeCell ref="I23:J23"/>
    <mergeCell ref="I24:J24"/>
    <mergeCell ref="I25:J25"/>
  </mergeCells>
  <conditionalFormatting sqref="C6:J13">
    <cfRule type="expression" dxfId="6" priority="1">
      <formula>AND($J$4&lt;&gt;"Twice",ROW(C6)-6&gt;COLUMN(C6)-3)</formula>
    </cfRule>
    <cfRule type="expression" dxfId="0" priority="2">
      <formula>OR(LEFT(C6,1)="3",C6="Walkover won")</formula>
    </cfRule>
    <cfRule type="expression" dxfId="1" priority="3">
      <formula>OR(C6="1-3",C6="2-3")</formula>
    </cfRule>
    <cfRule type="expression" dxfId="2" priority="4">
      <formula>OR(C6="0-3",C6="Walkover lost")</formula>
    </cfRule>
    <cfRule type="expression" dxfId="5" priority="5">
      <formula>AND($J$4="Twice",ROW(C6)-6&gt;COLUMN(C6)-3)</formula>
    </cfRule>
  </conditionalFormatting>
  <conditionalFormatting sqref="I18:I25">
    <cfRule type="expression" dxfId="3" priority="6">
      <formula>I18="Up"</formula>
    </cfRule>
    <cfRule type="expression" dxfId="4" priority="7">
      <formula>I18="Down"</formula>
    </cfRule>
  </conditionalFormatting>
  <dataValidations count="3">
    <dataValidation type="list" allowBlank="1" showInputMessage="1" showErrorMessage="1" errorStyle="stop" errorTitle="Once or twice" error="Pick Once or Twice." promptTitle="Once or twice" prompt="Does each pair in this box play once, or twice?" sqref="J4">
      <formula1>"Once,Twice"</formula1>
    </dataValidation>
    <dataValidation type="list" allowBlank="1" showInputMessage="1" showErrorMessage="1" errorStyle="stop" errorTitle="Pick a result from the list" error="A result is 3-0, 3-1, 3-2, 2-3, 1-3 or 0-3 in games, or a walkover. Pick one from the drop-down." promptTitle="The result" prompt="Pick the result from the row player's side. Played twice, this is the first match." sqref="D6 E6 F6 G6 H6 I6 J6 E7 F7 G7 H7 I7 J7 F8 G8 H8 I8 J8 G9 H9 I9 J9 H10 I10 J10 I11 J11 J12">
      <formula1>"3-0,3-1,3-2,2-3,1-3,0-3,Walkover won,Walkover lost"</formula1>
    </dataValidation>
    <dataValidation type="list" allowBlank="0" showInputMessage="1" showErrorMessage="1" errorStyle="stop" errorTitle="Not this square" error="Playing once, the result goes in the cream square above the dark diagonal. Playing twice, pick 3-0, 3-1, 3-2, 2-3, 1-3, 0-3 or a walkover from the drop-down." promptTitle="Below the diagonal" prompt="Playing once, leave this half alone: it fills itself in from the result above. Playing twice, pick the second match here." sqref="C7 C8 D8 C9 D9 E9 C10 D10 E10 F10 C11 D11 E11 F11 G11 C12 D12 E12 F12 G12 H12 C13 D13 E13 F13 G13 H13 I13">
      <formula1>$AA$6:$AA$13</formula1>
    </dataValidation>
  </dataValidations>
  <pageMargins left="0.4" right="0.4" top="0.5" bottom="0.5" header="0.3" footer="0.3"/>
  <pageSetup paperSize="9" orientation="landscape" fitToWidth="1" fitToHeight="1"/>
</worksheet>
</file>

<file path=xl/worksheets/sheet5.xml><?xml version="1.0" encoding="utf-8"?>
<worksheet xmlns="http://schemas.openxmlformats.org/spreadsheetml/2006/main">
  <sheetPr>
    <tabColor rgb="FFB08A3E"/>
    <pageSetUpPr fitToPage="1"/>
  </sheetPr>
  <sheetViews>
    <sheetView workbookViewId="0" showGridLines="0"/>
  </sheetViews>
  <cols>
    <col min="1" max="1" width="6" customWidth="1"/>
    <col min="2" max="2" width="22" customWidth="1"/>
    <col min="3" max="3" width="12" customWidth="1"/>
    <col min="4" max="4" width="12" customWidth="1"/>
    <col min="5" max="5" width="12" customWidth="1"/>
    <col min="6" max="6" width="12" customWidth="1"/>
    <col min="7" max="7" width="12" customWidth="1"/>
    <col min="8" max="8" width="12" customWidth="1"/>
    <col min="9" max="9" width="12" customWidth="1"/>
    <col min="10" max="10" width="12" customWidth="1"/>
    <col min="11" max="11" width="3" customWidth="1"/>
    <col min="12" max="12" width="10" customWidth="1" hidden="1"/>
    <col min="13" max="13" width="10" customWidth="1" hidden="1"/>
    <col min="14" max="14" width="10" customWidth="1" hidden="1"/>
    <col min="15" max="15" width="10" customWidth="1" hidden="1"/>
    <col min="16" max="16" width="10" customWidth="1" hidden="1"/>
    <col min="17" max="17" width="10" customWidth="1" hidden="1"/>
    <col min="18" max="18" width="10" customWidth="1" hidden="1"/>
    <col min="19" max="19" width="10" customWidth="1" hidden="1"/>
    <col min="20" max="20" width="10" customWidth="1" hidden="1"/>
    <col min="21" max="21" width="10" customWidth="1" hidden="1"/>
    <col min="22" max="22" width="10" customWidth="1" hidden="1"/>
    <col min="23" max="23" width="10" customWidth="1" hidden="1"/>
    <col min="24" max="24" width="10" customWidth="1" hidden="1"/>
    <col min="25" max="25" width="10" customWidth="1" hidden="1"/>
    <col min="26" max="26" width="10" customWidth="1" hidden="1"/>
    <col min="27" max="27" width="10" customWidth="1" hidden="1"/>
  </cols>
  <sheetData>
    <row r="1" ht="34" customHeight="1">
      <c r="A1" s="1" t="inlineStr">
        <is>
          <t xml:space="preserve">Box 4</t>
        </is>
      </c>
      <c r="B1" s="2"/>
      <c r="C1" s="2"/>
      <c r="D1" s="2"/>
      <c r="E1" s="2"/>
      <c r="F1" s="2"/>
      <c r="G1" s="2"/>
      <c r="H1" s="2"/>
      <c r="I1" s="2"/>
      <c r="J1" s="2"/>
    </row>
    <row r="2" ht="44" customHeight="1">
      <c r="A2" s="6" t="inlineStr">
        <is>
          <t xml:space="preserve">Type the names in column B, and choose whether each pair plays once or twice. Then pick each result from the drop-down in a cream cell, from the row player's side, in games. The colours and the table follow by themselves.</t>
        </is>
      </c>
    </row>
    <row r="3"/>
    <row r="4" ht="26" customHeight="1">
      <c r="A4" s="5" t="inlineStr">
        <is>
          <t xml:space="preserve">Players and results</t>
        </is>
      </c>
      <c r="B4" s="5"/>
      <c r="C4" s="5"/>
      <c r="D4" s="5"/>
      <c r="E4" s="5"/>
      <c r="F4" s="5"/>
      <c r="G4" s="5"/>
      <c r="H4" s="23" t="inlineStr">
        <is>
          <t xml:space="preserve">Each pair plays</t>
        </is>
      </c>
      <c r="I4" s="23"/>
      <c r="J4" s="24" t="inlineStr">
        <is>
          <t xml:space="preserve">Once</t>
        </is>
      </c>
    </row>
    <row r="5" ht="30" customHeight="1">
      <c r="A5" s="11" t="inlineStr">
        <is>
          <t xml:space="preserve">No.</t>
        </is>
      </c>
      <c r="B5" s="11" t="inlineStr">
        <is>
          <t xml:space="preserve">Player</t>
        </is>
      </c>
      <c r="C5" s="11">
        <f>IF($B$6="","1",$B$6)</f>
      </c>
      <c r="D5" s="11">
        <f>IF($B$7="","2",$B$7)</f>
      </c>
      <c r="E5" s="11">
        <f>IF($B$8="","3",$B$8)</f>
      </c>
      <c r="F5" s="11">
        <f>IF($B$9="","4",$B$9)</f>
      </c>
      <c r="G5" s="11">
        <f>IF($B$10="","5",$B$10)</f>
      </c>
      <c r="H5" s="11">
        <f>IF($B$11="","6",$B$11)</f>
      </c>
      <c r="I5" s="11">
        <f>IF($B$12="","7",$B$12)</f>
      </c>
      <c r="J5" s="11">
        <f>IF($B$13="","8",$B$13)</f>
      </c>
      <c r="L5" s="22" t="inlineStr">
        <is>
          <t xml:space="preserve">Worked out for you</t>
        </is>
      </c>
    </row>
    <row r="6" ht="22" customHeight="1">
      <c r="A6" s="9">
        <v>1</v>
      </c>
      <c r="B6" s="10"/>
      <c r="C6" s="14"/>
      <c r="D6" s="12"/>
      <c r="E6" s="12"/>
      <c r="F6" s="12"/>
      <c r="G6" s="12"/>
      <c r="H6" s="12"/>
      <c r="I6" s="12"/>
      <c r="J6" s="12"/>
      <c r="L6">
        <f>IF($B6="","",$B6)</f>
      </c>
      <c r="M6">
        <f>IF($L6="","",(COUNTIF($D$6:$J$6,"?*")+0+($J$4="Twice")*(0+COUNTIF($C$7:$C$13,"?*"))))</f>
      </c>
      <c r="N6">
        <f>IF($L6="","",(COUNTIF($D$6:$J$6,"3-*")+0+($J$4="Twice")*(0+COUNTIF($C$7:$C$13,"?-3")))+(COUNTIF($D$6:$J$6,"Walkover won")+0+($J$4="Twice")*(0+COUNTIF($C$7:$C$13,"Walkover lost"))))</f>
      </c>
      <c r="O6">
        <f>IF($L6="","",(COUNTIF($D$6:$J$6,"1-3")+0+($J$4="Twice")*(0+COUNTIF($C$7:$C$13,"3-1")))+(COUNTIF($D$6:$J$6,"2-3")+0+($J$4="Twice")*(0+COUNTIF($C$7:$C$13,"3-2"))))</f>
      </c>
      <c r="P6">
        <f>IF($L6="","",(COUNTIF($D$6:$J$6,"0-3")+0+($J$4="Twice")*(0+COUNTIF($C$7:$C$13,"3-0"))))</f>
      </c>
      <c r="Q6">
        <f>IF($L6="","",(COUNTIF($D$6:$J$6,"Walkover won")+0+($J$4="Twice")*(0+COUNTIF($C$7:$C$13,"Walkover lost"))))</f>
      </c>
      <c r="R6">
        <f>IF($L6="","",(COUNTIF($D$6:$J$6,"Walkover lost")+0+($J$4="Twice")*(0+COUNTIF($C$7:$C$13,"Walkover won"))))</f>
      </c>
      <c r="S6">
        <f>IF($L6="","",3*(COUNTIF($D$6:$J$6,"3-*")+0+($J$4="Twice")*(0+COUNTIF($C$7:$C$13,"?-3")))+1*(COUNTIF($D$6:$J$6,"1-3")+0+($J$4="Twice")*(0+COUNTIF($C$7:$C$13,"3-1")))+2*(COUNTIF($D$6:$J$6,"2-3")+0+($J$4="Twice")*(0+COUNTIF($C$7:$C$13,"3-2")))+3*$Q6)</f>
      </c>
      <c r="T6">
        <f>IF($L6="","",1*(COUNTIF($D$6:$J$6,"3-1")+0+($J$4="Twice")*(0+COUNTIF($C$7:$C$13,"1-3")))+2*(COUNTIF($D$6:$J$6,"3-2")+0+($J$4="Twice")*(0+COUNTIF($C$7:$C$13,"2-3")))+3*(COUNTIF($D$6:$J$6,"?-3")+0+($J$4="Twice")*(0+COUNTIF($C$7:$C$13,"3-*")))+3*$R6)</f>
      </c>
      <c r="U6">
        <f>IF($L6="","",$N6*Settings!$C$5+$O6*Settings!$C$6+$P6*Settings!$C$7+$R6*Settings!$C$8)</f>
      </c>
      <c r="V6">
        <f>IF($L6="","",IF(AND($L$7&lt;&gt;"",$U$7=$U6),OR(LEFT(D6,1)="3",D6="Walkover won")*1+($J$4="Twice")*OR(RIGHT(C7,1)="3",C7="Walkover lost"),0)+IF(AND($L$8&lt;&gt;"",$U$8=$U6),OR(LEFT(E6,1)="3",E6="Walkover won")*1+($J$4="Twice")*OR(RIGHT(C8,1)="3",C8="Walkover lost"),0)+IF(AND($L$9&lt;&gt;"",$U$9=$U6),OR(LEFT(F6,1)="3",F6="Walkover won")*1+($J$4="Twice")*OR(RIGHT(C9,1)="3",C9="Walkover lost"),0)+IF(AND($L$10&lt;&gt;"",$U$10=$U6),OR(LEFT(G6,1)="3",G6="Walkover won")*1+($J$4="Twice")*OR(RIGHT(C10,1)="3",C10="Walkover lost"),0)+IF(AND($L$11&lt;&gt;"",$U$11=$U6),OR(LEFT(H6,1)="3",H6="Walkover won")*1+($J$4="Twice")*OR(RIGHT(C11,1)="3",C11="Walkover lost"),0)+IF(AND($L$12&lt;&gt;"",$U$12=$U6),OR(LEFT(I6,1)="3",I6="Walkover won")*1+($J$4="Twice")*OR(RIGHT(C12,1)="3",C12="Walkover lost"),0)+IF(AND($L$13&lt;&gt;"",$U$13=$U6),OR(LEFT(J6,1)="3",J6="Walkover won")*1+($J$4="Twice")*OR(RIGHT(C13,1)="3",C13="Walkover lost"),0))</f>
      </c>
      <c r="W6">
        <f>IF($L6="","",$U6*10000+$V6*1000+($S6-$T6+50)*10+8)</f>
      </c>
      <c r="X6">
        <f>IF($L6="","",1+COUNTIF($W$6:$W$13,"&gt;"&amp;$W6))</f>
      </c>
      <c r="Y6">
        <f>IF($L6="","",(COUNTIF($L$6:$L$13,"?*")-1)*(1+($J$4="Twice"))-$M6)</f>
      </c>
      <c r="Z6">
        <f>IF($L6="","",$O6+$P6+$R6)</f>
      </c>
      <c r="AA6">
        <f>IF(($J$4="Twice"),"3-0","")</f>
      </c>
    </row>
    <row r="7" ht="22" customHeight="1">
      <c r="A7" s="9">
        <v>2</v>
      </c>
      <c r="B7" s="10"/>
      <c r="C7" s="13">
        <f>IF(($J$4="Twice"),"",IF(D6="3-0","0-3",IF(D6="3-1","1-3",IF(D6="3-2","2-3",IF(D6="2-3","3-2",IF(D6="1-3","3-1",IF(D6="0-3","3-0",IF(D6="Walkover won","Walkover lost",IF(D6="Walkover lost","Walkover won","")))))))))</f>
      </c>
      <c r="D7" s="14"/>
      <c r="E7" s="12"/>
      <c r="F7" s="12"/>
      <c r="G7" s="12"/>
      <c r="H7" s="12"/>
      <c r="I7" s="12"/>
      <c r="J7" s="12"/>
      <c r="L7">
        <f>IF($B7="","",$B7)</f>
      </c>
      <c r="M7">
        <f>IF($L7="","",(COUNTIF($E$7:$J$7,"?*")+COUNTIF($D$6:$D$6,"?*")+($J$4="Twice")*(COUNTIF($C$7:$C$7,"?*")+COUNTIF($D$8:$D$13,"?*"))))</f>
      </c>
      <c r="N7">
        <f>IF($L7="","",(COUNTIF($E$7:$J$7,"3-*")+COUNTIF($D$6:$D$6,"?-3")+($J$4="Twice")*(COUNTIF($C$7:$C$7,"3-*")+COUNTIF($D$8:$D$13,"?-3")))+(COUNTIF($E$7:$J$7,"Walkover won")+COUNTIF($D$6:$D$6,"Walkover lost")+($J$4="Twice")*(COUNTIF($C$7:$C$7,"Walkover won")+COUNTIF($D$8:$D$13,"Walkover lost"))))</f>
      </c>
      <c r="O7">
        <f>IF($L7="","",(COUNTIF($E$7:$J$7,"1-3")+COUNTIF($D$6:$D$6,"3-1")+($J$4="Twice")*(COUNTIF($C$7:$C$7,"1-3")+COUNTIF($D$8:$D$13,"3-1")))+(COUNTIF($E$7:$J$7,"2-3")+COUNTIF($D$6:$D$6,"3-2")+($J$4="Twice")*(COUNTIF($C$7:$C$7,"2-3")+COUNTIF($D$8:$D$13,"3-2"))))</f>
      </c>
      <c r="P7">
        <f>IF($L7="","",(COUNTIF($E$7:$J$7,"0-3")+COUNTIF($D$6:$D$6,"3-0")+($J$4="Twice")*(COUNTIF($C$7:$C$7,"0-3")+COUNTIF($D$8:$D$13,"3-0"))))</f>
      </c>
      <c r="Q7">
        <f>IF($L7="","",(COUNTIF($E$7:$J$7,"Walkover won")+COUNTIF($D$6:$D$6,"Walkover lost")+($J$4="Twice")*(COUNTIF($C$7:$C$7,"Walkover won")+COUNTIF($D$8:$D$13,"Walkover lost"))))</f>
      </c>
      <c r="R7">
        <f>IF($L7="","",(COUNTIF($E$7:$J$7,"Walkover lost")+COUNTIF($D$6:$D$6,"Walkover won")+($J$4="Twice")*(COUNTIF($C$7:$C$7,"Walkover lost")+COUNTIF($D$8:$D$13,"Walkover won"))))</f>
      </c>
      <c r="S7">
        <f>IF($L7="","",3*(COUNTIF($E$7:$J$7,"3-*")+COUNTIF($D$6:$D$6,"?-3")+($J$4="Twice")*(COUNTIF($C$7:$C$7,"3-*")+COUNTIF($D$8:$D$13,"?-3")))+1*(COUNTIF($E$7:$J$7,"1-3")+COUNTIF($D$6:$D$6,"3-1")+($J$4="Twice")*(COUNTIF($C$7:$C$7,"1-3")+COUNTIF($D$8:$D$13,"3-1")))+2*(COUNTIF($E$7:$J$7,"2-3")+COUNTIF($D$6:$D$6,"3-2")+($J$4="Twice")*(COUNTIF($C$7:$C$7,"2-3")+COUNTIF($D$8:$D$13,"3-2")))+3*$Q7)</f>
      </c>
      <c r="T7">
        <f>IF($L7="","",1*(COUNTIF($E$7:$J$7,"3-1")+COUNTIF($D$6:$D$6,"1-3")+($J$4="Twice")*(COUNTIF($C$7:$C$7,"3-1")+COUNTIF($D$8:$D$13,"1-3")))+2*(COUNTIF($E$7:$J$7,"3-2")+COUNTIF($D$6:$D$6,"2-3")+($J$4="Twice")*(COUNTIF($C$7:$C$7,"3-2")+COUNTIF($D$8:$D$13,"2-3")))+3*(COUNTIF($E$7:$J$7,"?-3")+COUNTIF($D$6:$D$6,"3-*")+($J$4="Twice")*(COUNTIF($C$7:$C$7,"?-3")+COUNTIF($D$8:$D$13,"3-*")))+3*$R7)</f>
      </c>
      <c r="U7">
        <f>IF($L7="","",$N7*Settings!$C$5+$O7*Settings!$C$6+$P7*Settings!$C$7+$R7*Settings!$C$8)</f>
      </c>
      <c r="V7">
        <f>IF($L7="","",IF(AND($L$6&lt;&gt;"",$U$6=$U7),OR(RIGHT(D6,1)="3",D6="Walkover lost")*1+($J$4="Twice")*OR(LEFT(C7,1)="3",C7="Walkover won"),0)+IF(AND($L$8&lt;&gt;"",$U$8=$U7),OR(LEFT(E7,1)="3",E7="Walkover won")*1+($J$4="Twice")*OR(RIGHT(D8,1)="3",D8="Walkover lost"),0)+IF(AND($L$9&lt;&gt;"",$U$9=$U7),OR(LEFT(F7,1)="3",F7="Walkover won")*1+($J$4="Twice")*OR(RIGHT(D9,1)="3",D9="Walkover lost"),0)+IF(AND($L$10&lt;&gt;"",$U$10=$U7),OR(LEFT(G7,1)="3",G7="Walkover won")*1+($J$4="Twice")*OR(RIGHT(D10,1)="3",D10="Walkover lost"),0)+IF(AND($L$11&lt;&gt;"",$U$11=$U7),OR(LEFT(H7,1)="3",H7="Walkover won")*1+($J$4="Twice")*OR(RIGHT(D11,1)="3",D11="Walkover lost"),0)+IF(AND($L$12&lt;&gt;"",$U$12=$U7),OR(LEFT(I7,1)="3",I7="Walkover won")*1+($J$4="Twice")*OR(RIGHT(D12,1)="3",D12="Walkover lost"),0)+IF(AND($L$13&lt;&gt;"",$U$13=$U7),OR(LEFT(J7,1)="3",J7="Walkover won")*1+($J$4="Twice")*OR(RIGHT(D13,1)="3",D13="Walkover lost"),0))</f>
      </c>
      <c r="W7">
        <f>IF($L7="","",$U7*10000+$V7*1000+($S7-$T7+50)*10+7)</f>
      </c>
      <c r="X7">
        <f>IF($L7="","",1+COUNTIF($W$6:$W$13,"&gt;"&amp;$W7))</f>
      </c>
      <c r="Y7">
        <f>IF($L7="","",(COUNTIF($L$6:$L$13,"?*")-1)*(1+($J$4="Twice"))-$M7)</f>
      </c>
      <c r="Z7">
        <f>IF($L7="","",$O7+$P7+$R7)</f>
      </c>
      <c r="AA7">
        <f>IF(($J$4="Twice"),"3-1","")</f>
      </c>
    </row>
    <row r="8" ht="22" customHeight="1">
      <c r="A8" s="9">
        <v>3</v>
      </c>
      <c r="B8" s="10"/>
      <c r="C8" s="13">
        <f>IF(($J$4="Twice"),"",IF(E6="3-0","0-3",IF(E6="3-1","1-3",IF(E6="3-2","2-3",IF(E6="2-3","3-2",IF(E6="1-3","3-1",IF(E6="0-3","3-0",IF(E6="Walkover won","Walkover lost",IF(E6="Walkover lost","Walkover won","")))))))))</f>
      </c>
      <c r="D8" s="13">
        <f>IF(($J$4="Twice"),"",IF(E7="3-0","0-3",IF(E7="3-1","1-3",IF(E7="3-2","2-3",IF(E7="2-3","3-2",IF(E7="1-3","3-1",IF(E7="0-3","3-0",IF(E7="Walkover won","Walkover lost",IF(E7="Walkover lost","Walkover won","")))))))))</f>
      </c>
      <c r="E8" s="14"/>
      <c r="F8" s="12"/>
      <c r="G8" s="12"/>
      <c r="H8" s="12"/>
      <c r="I8" s="12"/>
      <c r="J8" s="12"/>
      <c r="L8">
        <f>IF($B8="","",$B8)</f>
      </c>
      <c r="M8">
        <f>IF($L8="","",(COUNTIF($F$8:$J$8,"?*")+COUNTIF($E$6:$E$7,"?*")+($J$4="Twice")*(COUNTIF($C$8:$D$8,"?*")+COUNTIF($E$9:$E$13,"?*"))))</f>
      </c>
      <c r="N8">
        <f>IF($L8="","",(COUNTIF($F$8:$J$8,"3-*")+COUNTIF($E$6:$E$7,"?-3")+($J$4="Twice")*(COUNTIF($C$8:$D$8,"3-*")+COUNTIF($E$9:$E$13,"?-3")))+(COUNTIF($F$8:$J$8,"Walkover won")+COUNTIF($E$6:$E$7,"Walkover lost")+($J$4="Twice")*(COUNTIF($C$8:$D$8,"Walkover won")+COUNTIF($E$9:$E$13,"Walkover lost"))))</f>
      </c>
      <c r="O8">
        <f>IF($L8="","",(COUNTIF($F$8:$J$8,"1-3")+COUNTIF($E$6:$E$7,"3-1")+($J$4="Twice")*(COUNTIF($C$8:$D$8,"1-3")+COUNTIF($E$9:$E$13,"3-1")))+(COUNTIF($F$8:$J$8,"2-3")+COUNTIF($E$6:$E$7,"3-2")+($J$4="Twice")*(COUNTIF($C$8:$D$8,"2-3")+COUNTIF($E$9:$E$13,"3-2"))))</f>
      </c>
      <c r="P8">
        <f>IF($L8="","",(COUNTIF($F$8:$J$8,"0-3")+COUNTIF($E$6:$E$7,"3-0")+($J$4="Twice")*(COUNTIF($C$8:$D$8,"0-3")+COUNTIF($E$9:$E$13,"3-0"))))</f>
      </c>
      <c r="Q8">
        <f>IF($L8="","",(COUNTIF($F$8:$J$8,"Walkover won")+COUNTIF($E$6:$E$7,"Walkover lost")+($J$4="Twice")*(COUNTIF($C$8:$D$8,"Walkover won")+COUNTIF($E$9:$E$13,"Walkover lost"))))</f>
      </c>
      <c r="R8">
        <f>IF($L8="","",(COUNTIF($F$8:$J$8,"Walkover lost")+COUNTIF($E$6:$E$7,"Walkover won")+($J$4="Twice")*(COUNTIF($C$8:$D$8,"Walkover lost")+COUNTIF($E$9:$E$13,"Walkover won"))))</f>
      </c>
      <c r="S8">
        <f>IF($L8="","",3*(COUNTIF($F$8:$J$8,"3-*")+COUNTIF($E$6:$E$7,"?-3")+($J$4="Twice")*(COUNTIF($C$8:$D$8,"3-*")+COUNTIF($E$9:$E$13,"?-3")))+1*(COUNTIF($F$8:$J$8,"1-3")+COUNTIF($E$6:$E$7,"3-1")+($J$4="Twice")*(COUNTIF($C$8:$D$8,"1-3")+COUNTIF($E$9:$E$13,"3-1")))+2*(COUNTIF($F$8:$J$8,"2-3")+COUNTIF($E$6:$E$7,"3-2")+($J$4="Twice")*(COUNTIF($C$8:$D$8,"2-3")+COUNTIF($E$9:$E$13,"3-2")))+3*$Q8)</f>
      </c>
      <c r="T8">
        <f>IF($L8="","",1*(COUNTIF($F$8:$J$8,"3-1")+COUNTIF($E$6:$E$7,"1-3")+($J$4="Twice")*(COUNTIF($C$8:$D$8,"3-1")+COUNTIF($E$9:$E$13,"1-3")))+2*(COUNTIF($F$8:$J$8,"3-2")+COUNTIF($E$6:$E$7,"2-3")+($J$4="Twice")*(COUNTIF($C$8:$D$8,"3-2")+COUNTIF($E$9:$E$13,"2-3")))+3*(COUNTIF($F$8:$J$8,"?-3")+COUNTIF($E$6:$E$7,"3-*")+($J$4="Twice")*(COUNTIF($C$8:$D$8,"?-3")+COUNTIF($E$9:$E$13,"3-*")))+3*$R8)</f>
      </c>
      <c r="U8">
        <f>IF($L8="","",$N8*Settings!$C$5+$O8*Settings!$C$6+$P8*Settings!$C$7+$R8*Settings!$C$8)</f>
      </c>
      <c r="V8">
        <f>IF($L8="","",IF(AND($L$6&lt;&gt;"",$U$6=$U8),OR(RIGHT(E6,1)="3",E6="Walkover lost")*1+($J$4="Twice")*OR(LEFT(C8,1)="3",C8="Walkover won"),0)+IF(AND($L$7&lt;&gt;"",$U$7=$U8),OR(RIGHT(E7,1)="3",E7="Walkover lost")*1+($J$4="Twice")*OR(LEFT(D8,1)="3",D8="Walkover won"),0)+IF(AND($L$9&lt;&gt;"",$U$9=$U8),OR(LEFT(F8,1)="3",F8="Walkover won")*1+($J$4="Twice")*OR(RIGHT(E9,1)="3",E9="Walkover lost"),0)+IF(AND($L$10&lt;&gt;"",$U$10=$U8),OR(LEFT(G8,1)="3",G8="Walkover won")*1+($J$4="Twice")*OR(RIGHT(E10,1)="3",E10="Walkover lost"),0)+IF(AND($L$11&lt;&gt;"",$U$11=$U8),OR(LEFT(H8,1)="3",H8="Walkover won")*1+($J$4="Twice")*OR(RIGHT(E11,1)="3",E11="Walkover lost"),0)+IF(AND($L$12&lt;&gt;"",$U$12=$U8),OR(LEFT(I8,1)="3",I8="Walkover won")*1+($J$4="Twice")*OR(RIGHT(E12,1)="3",E12="Walkover lost"),0)+IF(AND($L$13&lt;&gt;"",$U$13=$U8),OR(LEFT(J8,1)="3",J8="Walkover won")*1+($J$4="Twice")*OR(RIGHT(E13,1)="3",E13="Walkover lost"),0))</f>
      </c>
      <c r="W8">
        <f>IF($L8="","",$U8*10000+$V8*1000+($S8-$T8+50)*10+6)</f>
      </c>
      <c r="X8">
        <f>IF($L8="","",1+COUNTIF($W$6:$W$13,"&gt;"&amp;$W8))</f>
      </c>
      <c r="Y8">
        <f>IF($L8="","",(COUNTIF($L$6:$L$13,"?*")-1)*(1+($J$4="Twice"))-$M8)</f>
      </c>
      <c r="Z8">
        <f>IF($L8="","",$O8+$P8+$R8)</f>
      </c>
      <c r="AA8">
        <f>IF(($J$4="Twice"),"3-2","")</f>
      </c>
    </row>
    <row r="9" ht="22" customHeight="1">
      <c r="A9" s="9">
        <v>4</v>
      </c>
      <c r="B9" s="10"/>
      <c r="C9" s="13">
        <f>IF(($J$4="Twice"),"",IF(F6="3-0","0-3",IF(F6="3-1","1-3",IF(F6="3-2","2-3",IF(F6="2-3","3-2",IF(F6="1-3","3-1",IF(F6="0-3","3-0",IF(F6="Walkover won","Walkover lost",IF(F6="Walkover lost","Walkover won","")))))))))</f>
      </c>
      <c r="D9" s="13">
        <f>IF(($J$4="Twice"),"",IF(F7="3-0","0-3",IF(F7="3-1","1-3",IF(F7="3-2","2-3",IF(F7="2-3","3-2",IF(F7="1-3","3-1",IF(F7="0-3","3-0",IF(F7="Walkover won","Walkover lost",IF(F7="Walkover lost","Walkover won","")))))))))</f>
      </c>
      <c r="E9" s="13">
        <f>IF(($J$4="Twice"),"",IF(F8="3-0","0-3",IF(F8="3-1","1-3",IF(F8="3-2","2-3",IF(F8="2-3","3-2",IF(F8="1-3","3-1",IF(F8="0-3","3-0",IF(F8="Walkover won","Walkover lost",IF(F8="Walkover lost","Walkover won","")))))))))</f>
      </c>
      <c r="F9" s="14"/>
      <c r="G9" s="12"/>
      <c r="H9" s="12"/>
      <c r="I9" s="12"/>
      <c r="J9" s="12"/>
      <c r="L9">
        <f>IF($B9="","",$B9)</f>
      </c>
      <c r="M9">
        <f>IF($L9="","",(COUNTIF($G$9:$J$9,"?*")+COUNTIF($F$6:$F$8,"?*")+($J$4="Twice")*(COUNTIF($C$9:$E$9,"?*")+COUNTIF($F$10:$F$13,"?*"))))</f>
      </c>
      <c r="N9">
        <f>IF($L9="","",(COUNTIF($G$9:$J$9,"3-*")+COUNTIF($F$6:$F$8,"?-3")+($J$4="Twice")*(COUNTIF($C$9:$E$9,"3-*")+COUNTIF($F$10:$F$13,"?-3")))+(COUNTIF($G$9:$J$9,"Walkover won")+COUNTIF($F$6:$F$8,"Walkover lost")+($J$4="Twice")*(COUNTIF($C$9:$E$9,"Walkover won")+COUNTIF($F$10:$F$13,"Walkover lost"))))</f>
      </c>
      <c r="O9">
        <f>IF($L9="","",(COUNTIF($G$9:$J$9,"1-3")+COUNTIF($F$6:$F$8,"3-1")+($J$4="Twice")*(COUNTIF($C$9:$E$9,"1-3")+COUNTIF($F$10:$F$13,"3-1")))+(COUNTIF($G$9:$J$9,"2-3")+COUNTIF($F$6:$F$8,"3-2")+($J$4="Twice")*(COUNTIF($C$9:$E$9,"2-3")+COUNTIF($F$10:$F$13,"3-2"))))</f>
      </c>
      <c r="P9">
        <f>IF($L9="","",(COUNTIF($G$9:$J$9,"0-3")+COUNTIF($F$6:$F$8,"3-0")+($J$4="Twice")*(COUNTIF($C$9:$E$9,"0-3")+COUNTIF($F$10:$F$13,"3-0"))))</f>
      </c>
      <c r="Q9">
        <f>IF($L9="","",(COUNTIF($G$9:$J$9,"Walkover won")+COUNTIF($F$6:$F$8,"Walkover lost")+($J$4="Twice")*(COUNTIF($C$9:$E$9,"Walkover won")+COUNTIF($F$10:$F$13,"Walkover lost"))))</f>
      </c>
      <c r="R9">
        <f>IF($L9="","",(COUNTIF($G$9:$J$9,"Walkover lost")+COUNTIF($F$6:$F$8,"Walkover won")+($J$4="Twice")*(COUNTIF($C$9:$E$9,"Walkover lost")+COUNTIF($F$10:$F$13,"Walkover won"))))</f>
      </c>
      <c r="S9">
        <f>IF($L9="","",3*(COUNTIF($G$9:$J$9,"3-*")+COUNTIF($F$6:$F$8,"?-3")+($J$4="Twice")*(COUNTIF($C$9:$E$9,"3-*")+COUNTIF($F$10:$F$13,"?-3")))+1*(COUNTIF($G$9:$J$9,"1-3")+COUNTIF($F$6:$F$8,"3-1")+($J$4="Twice")*(COUNTIF($C$9:$E$9,"1-3")+COUNTIF($F$10:$F$13,"3-1")))+2*(COUNTIF($G$9:$J$9,"2-3")+COUNTIF($F$6:$F$8,"3-2")+($J$4="Twice")*(COUNTIF($C$9:$E$9,"2-3")+COUNTIF($F$10:$F$13,"3-2")))+3*$Q9)</f>
      </c>
      <c r="T9">
        <f>IF($L9="","",1*(COUNTIF($G$9:$J$9,"3-1")+COUNTIF($F$6:$F$8,"1-3")+($J$4="Twice")*(COUNTIF($C$9:$E$9,"3-1")+COUNTIF($F$10:$F$13,"1-3")))+2*(COUNTIF($G$9:$J$9,"3-2")+COUNTIF($F$6:$F$8,"2-3")+($J$4="Twice")*(COUNTIF($C$9:$E$9,"3-2")+COUNTIF($F$10:$F$13,"2-3")))+3*(COUNTIF($G$9:$J$9,"?-3")+COUNTIF($F$6:$F$8,"3-*")+($J$4="Twice")*(COUNTIF($C$9:$E$9,"?-3")+COUNTIF($F$10:$F$13,"3-*")))+3*$R9)</f>
      </c>
      <c r="U9">
        <f>IF($L9="","",$N9*Settings!$C$5+$O9*Settings!$C$6+$P9*Settings!$C$7+$R9*Settings!$C$8)</f>
      </c>
      <c r="V9">
        <f>IF($L9="","",IF(AND($L$6&lt;&gt;"",$U$6=$U9),OR(RIGHT(F6,1)="3",F6="Walkover lost")*1+($J$4="Twice")*OR(LEFT(C9,1)="3",C9="Walkover won"),0)+IF(AND($L$7&lt;&gt;"",$U$7=$U9),OR(RIGHT(F7,1)="3",F7="Walkover lost")*1+($J$4="Twice")*OR(LEFT(D9,1)="3",D9="Walkover won"),0)+IF(AND($L$8&lt;&gt;"",$U$8=$U9),OR(RIGHT(F8,1)="3",F8="Walkover lost")*1+($J$4="Twice")*OR(LEFT(E9,1)="3",E9="Walkover won"),0)+IF(AND($L$10&lt;&gt;"",$U$10=$U9),OR(LEFT(G9,1)="3",G9="Walkover won")*1+($J$4="Twice")*OR(RIGHT(F10,1)="3",F10="Walkover lost"),0)+IF(AND($L$11&lt;&gt;"",$U$11=$U9),OR(LEFT(H9,1)="3",H9="Walkover won")*1+($J$4="Twice")*OR(RIGHT(F11,1)="3",F11="Walkover lost"),0)+IF(AND($L$12&lt;&gt;"",$U$12=$U9),OR(LEFT(I9,1)="3",I9="Walkover won")*1+($J$4="Twice")*OR(RIGHT(F12,1)="3",F12="Walkover lost"),0)+IF(AND($L$13&lt;&gt;"",$U$13=$U9),OR(LEFT(J9,1)="3",J9="Walkover won")*1+($J$4="Twice")*OR(RIGHT(F13,1)="3",F13="Walkover lost"),0))</f>
      </c>
      <c r="W9">
        <f>IF($L9="","",$U9*10000+$V9*1000+($S9-$T9+50)*10+5)</f>
      </c>
      <c r="X9">
        <f>IF($L9="","",1+COUNTIF($W$6:$W$13,"&gt;"&amp;$W9))</f>
      </c>
      <c r="Y9">
        <f>IF($L9="","",(COUNTIF($L$6:$L$13,"?*")-1)*(1+($J$4="Twice"))-$M9)</f>
      </c>
      <c r="Z9">
        <f>IF($L9="","",$O9+$P9+$R9)</f>
      </c>
      <c r="AA9">
        <f>IF(($J$4="Twice"),"2-3","")</f>
      </c>
    </row>
    <row r="10" ht="22" customHeight="1">
      <c r="A10" s="9">
        <v>5</v>
      </c>
      <c r="B10" s="10"/>
      <c r="C10" s="13">
        <f>IF(($J$4="Twice"),"",IF(G6="3-0","0-3",IF(G6="3-1","1-3",IF(G6="3-2","2-3",IF(G6="2-3","3-2",IF(G6="1-3","3-1",IF(G6="0-3","3-0",IF(G6="Walkover won","Walkover lost",IF(G6="Walkover lost","Walkover won","")))))))))</f>
      </c>
      <c r="D10" s="13">
        <f>IF(($J$4="Twice"),"",IF(G7="3-0","0-3",IF(G7="3-1","1-3",IF(G7="3-2","2-3",IF(G7="2-3","3-2",IF(G7="1-3","3-1",IF(G7="0-3","3-0",IF(G7="Walkover won","Walkover lost",IF(G7="Walkover lost","Walkover won","")))))))))</f>
      </c>
      <c r="E10" s="13">
        <f>IF(($J$4="Twice"),"",IF(G8="3-0","0-3",IF(G8="3-1","1-3",IF(G8="3-2","2-3",IF(G8="2-3","3-2",IF(G8="1-3","3-1",IF(G8="0-3","3-0",IF(G8="Walkover won","Walkover lost",IF(G8="Walkover lost","Walkover won","")))))))))</f>
      </c>
      <c r="F10" s="13">
        <f>IF(($J$4="Twice"),"",IF(G9="3-0","0-3",IF(G9="3-1","1-3",IF(G9="3-2","2-3",IF(G9="2-3","3-2",IF(G9="1-3","3-1",IF(G9="0-3","3-0",IF(G9="Walkover won","Walkover lost",IF(G9="Walkover lost","Walkover won","")))))))))</f>
      </c>
      <c r="G10" s="14"/>
      <c r="H10" s="12"/>
      <c r="I10" s="12"/>
      <c r="J10" s="12"/>
      <c r="L10">
        <f>IF($B10="","",$B10)</f>
      </c>
      <c r="M10">
        <f>IF($L10="","",(COUNTIF($H$10:$J$10,"?*")+COUNTIF($G$6:$G$9,"?*")+($J$4="Twice")*(COUNTIF($C$10:$F$10,"?*")+COUNTIF($G$11:$G$13,"?*"))))</f>
      </c>
      <c r="N10">
        <f>IF($L10="","",(COUNTIF($H$10:$J$10,"3-*")+COUNTIF($G$6:$G$9,"?-3")+($J$4="Twice")*(COUNTIF($C$10:$F$10,"3-*")+COUNTIF($G$11:$G$13,"?-3")))+(COUNTIF($H$10:$J$10,"Walkover won")+COUNTIF($G$6:$G$9,"Walkover lost")+($J$4="Twice")*(COUNTIF($C$10:$F$10,"Walkover won")+COUNTIF($G$11:$G$13,"Walkover lost"))))</f>
      </c>
      <c r="O10">
        <f>IF($L10="","",(COUNTIF($H$10:$J$10,"1-3")+COUNTIF($G$6:$G$9,"3-1")+($J$4="Twice")*(COUNTIF($C$10:$F$10,"1-3")+COUNTIF($G$11:$G$13,"3-1")))+(COUNTIF($H$10:$J$10,"2-3")+COUNTIF($G$6:$G$9,"3-2")+($J$4="Twice")*(COUNTIF($C$10:$F$10,"2-3")+COUNTIF($G$11:$G$13,"3-2"))))</f>
      </c>
      <c r="P10">
        <f>IF($L10="","",(COUNTIF($H$10:$J$10,"0-3")+COUNTIF($G$6:$G$9,"3-0")+($J$4="Twice")*(COUNTIF($C$10:$F$10,"0-3")+COUNTIF($G$11:$G$13,"3-0"))))</f>
      </c>
      <c r="Q10">
        <f>IF($L10="","",(COUNTIF($H$10:$J$10,"Walkover won")+COUNTIF($G$6:$G$9,"Walkover lost")+($J$4="Twice")*(COUNTIF($C$10:$F$10,"Walkover won")+COUNTIF($G$11:$G$13,"Walkover lost"))))</f>
      </c>
      <c r="R10">
        <f>IF($L10="","",(COUNTIF($H$10:$J$10,"Walkover lost")+COUNTIF($G$6:$G$9,"Walkover won")+($J$4="Twice")*(COUNTIF($C$10:$F$10,"Walkover lost")+COUNTIF($G$11:$G$13,"Walkover won"))))</f>
      </c>
      <c r="S10">
        <f>IF($L10="","",3*(COUNTIF($H$10:$J$10,"3-*")+COUNTIF($G$6:$G$9,"?-3")+($J$4="Twice")*(COUNTIF($C$10:$F$10,"3-*")+COUNTIF($G$11:$G$13,"?-3")))+1*(COUNTIF($H$10:$J$10,"1-3")+COUNTIF($G$6:$G$9,"3-1")+($J$4="Twice")*(COUNTIF($C$10:$F$10,"1-3")+COUNTIF($G$11:$G$13,"3-1")))+2*(COUNTIF($H$10:$J$10,"2-3")+COUNTIF($G$6:$G$9,"3-2")+($J$4="Twice")*(COUNTIF($C$10:$F$10,"2-3")+COUNTIF($G$11:$G$13,"3-2")))+3*$Q10)</f>
      </c>
      <c r="T10">
        <f>IF($L10="","",1*(COUNTIF($H$10:$J$10,"3-1")+COUNTIF($G$6:$G$9,"1-3")+($J$4="Twice")*(COUNTIF($C$10:$F$10,"3-1")+COUNTIF($G$11:$G$13,"1-3")))+2*(COUNTIF($H$10:$J$10,"3-2")+COUNTIF($G$6:$G$9,"2-3")+($J$4="Twice")*(COUNTIF($C$10:$F$10,"3-2")+COUNTIF($G$11:$G$13,"2-3")))+3*(COUNTIF($H$10:$J$10,"?-3")+COUNTIF($G$6:$G$9,"3-*")+($J$4="Twice")*(COUNTIF($C$10:$F$10,"?-3")+COUNTIF($G$11:$G$13,"3-*")))+3*$R10)</f>
      </c>
      <c r="U10">
        <f>IF($L10="","",$N10*Settings!$C$5+$O10*Settings!$C$6+$P10*Settings!$C$7+$R10*Settings!$C$8)</f>
      </c>
      <c r="V10">
        <f>IF($L10="","",IF(AND($L$6&lt;&gt;"",$U$6=$U10),OR(RIGHT(G6,1)="3",G6="Walkover lost")*1+($J$4="Twice")*OR(LEFT(C10,1)="3",C10="Walkover won"),0)+IF(AND($L$7&lt;&gt;"",$U$7=$U10),OR(RIGHT(G7,1)="3",G7="Walkover lost")*1+($J$4="Twice")*OR(LEFT(D10,1)="3",D10="Walkover won"),0)+IF(AND($L$8&lt;&gt;"",$U$8=$U10),OR(RIGHT(G8,1)="3",G8="Walkover lost")*1+($J$4="Twice")*OR(LEFT(E10,1)="3",E10="Walkover won"),0)+IF(AND($L$9&lt;&gt;"",$U$9=$U10),OR(RIGHT(G9,1)="3",G9="Walkover lost")*1+($J$4="Twice")*OR(LEFT(F10,1)="3",F10="Walkover won"),0)+IF(AND($L$11&lt;&gt;"",$U$11=$U10),OR(LEFT(H10,1)="3",H10="Walkover won")*1+($J$4="Twice")*OR(RIGHT(G11,1)="3",G11="Walkover lost"),0)+IF(AND($L$12&lt;&gt;"",$U$12=$U10),OR(LEFT(I10,1)="3",I10="Walkover won")*1+($J$4="Twice")*OR(RIGHT(G12,1)="3",G12="Walkover lost"),0)+IF(AND($L$13&lt;&gt;"",$U$13=$U10),OR(LEFT(J10,1)="3",J10="Walkover won")*1+($J$4="Twice")*OR(RIGHT(G13,1)="3",G13="Walkover lost"),0))</f>
      </c>
      <c r="W10">
        <f>IF($L10="","",$U10*10000+$V10*1000+($S10-$T10+50)*10+4)</f>
      </c>
      <c r="X10">
        <f>IF($L10="","",1+COUNTIF($W$6:$W$13,"&gt;"&amp;$W10))</f>
      </c>
      <c r="Y10">
        <f>IF($L10="","",(COUNTIF($L$6:$L$13,"?*")-1)*(1+($J$4="Twice"))-$M10)</f>
      </c>
      <c r="Z10">
        <f>IF($L10="","",$O10+$P10+$R10)</f>
      </c>
      <c r="AA10">
        <f>IF(($J$4="Twice"),"1-3","")</f>
      </c>
    </row>
    <row r="11" ht="22" customHeight="1">
      <c r="A11" s="9">
        <v>6</v>
      </c>
      <c r="B11" s="10"/>
      <c r="C11" s="13">
        <f>IF(($J$4="Twice"),"",IF(H6="3-0","0-3",IF(H6="3-1","1-3",IF(H6="3-2","2-3",IF(H6="2-3","3-2",IF(H6="1-3","3-1",IF(H6="0-3","3-0",IF(H6="Walkover won","Walkover lost",IF(H6="Walkover lost","Walkover won","")))))))))</f>
      </c>
      <c r="D11" s="13">
        <f>IF(($J$4="Twice"),"",IF(H7="3-0","0-3",IF(H7="3-1","1-3",IF(H7="3-2","2-3",IF(H7="2-3","3-2",IF(H7="1-3","3-1",IF(H7="0-3","3-0",IF(H7="Walkover won","Walkover lost",IF(H7="Walkover lost","Walkover won","")))))))))</f>
      </c>
      <c r="E11" s="13">
        <f>IF(($J$4="Twice"),"",IF(H8="3-0","0-3",IF(H8="3-1","1-3",IF(H8="3-2","2-3",IF(H8="2-3","3-2",IF(H8="1-3","3-1",IF(H8="0-3","3-0",IF(H8="Walkover won","Walkover lost",IF(H8="Walkover lost","Walkover won","")))))))))</f>
      </c>
      <c r="F11" s="13">
        <f>IF(($J$4="Twice"),"",IF(H9="3-0","0-3",IF(H9="3-1","1-3",IF(H9="3-2","2-3",IF(H9="2-3","3-2",IF(H9="1-3","3-1",IF(H9="0-3","3-0",IF(H9="Walkover won","Walkover lost",IF(H9="Walkover lost","Walkover won","")))))))))</f>
      </c>
      <c r="G11" s="13">
        <f>IF(($J$4="Twice"),"",IF(H10="3-0","0-3",IF(H10="3-1","1-3",IF(H10="3-2","2-3",IF(H10="2-3","3-2",IF(H10="1-3","3-1",IF(H10="0-3","3-0",IF(H10="Walkover won","Walkover lost",IF(H10="Walkover lost","Walkover won","")))))))))</f>
      </c>
      <c r="H11" s="14"/>
      <c r="I11" s="12"/>
      <c r="J11" s="12"/>
      <c r="L11">
        <f>IF($B11="","",$B11)</f>
      </c>
      <c r="M11">
        <f>IF($L11="","",(COUNTIF($I$11:$J$11,"?*")+COUNTIF($H$6:$H$10,"?*")+($J$4="Twice")*(COUNTIF($C$11:$G$11,"?*")+COUNTIF($H$12:$H$13,"?*"))))</f>
      </c>
      <c r="N11">
        <f>IF($L11="","",(COUNTIF($I$11:$J$11,"3-*")+COUNTIF($H$6:$H$10,"?-3")+($J$4="Twice")*(COUNTIF($C$11:$G$11,"3-*")+COUNTIF($H$12:$H$13,"?-3")))+(COUNTIF($I$11:$J$11,"Walkover won")+COUNTIF($H$6:$H$10,"Walkover lost")+($J$4="Twice")*(COUNTIF($C$11:$G$11,"Walkover won")+COUNTIF($H$12:$H$13,"Walkover lost"))))</f>
      </c>
      <c r="O11">
        <f>IF($L11="","",(COUNTIF($I$11:$J$11,"1-3")+COUNTIF($H$6:$H$10,"3-1")+($J$4="Twice")*(COUNTIF($C$11:$G$11,"1-3")+COUNTIF($H$12:$H$13,"3-1")))+(COUNTIF($I$11:$J$11,"2-3")+COUNTIF($H$6:$H$10,"3-2")+($J$4="Twice")*(COUNTIF($C$11:$G$11,"2-3")+COUNTIF($H$12:$H$13,"3-2"))))</f>
      </c>
      <c r="P11">
        <f>IF($L11="","",(COUNTIF($I$11:$J$11,"0-3")+COUNTIF($H$6:$H$10,"3-0")+($J$4="Twice")*(COUNTIF($C$11:$G$11,"0-3")+COUNTIF($H$12:$H$13,"3-0"))))</f>
      </c>
      <c r="Q11">
        <f>IF($L11="","",(COUNTIF($I$11:$J$11,"Walkover won")+COUNTIF($H$6:$H$10,"Walkover lost")+($J$4="Twice")*(COUNTIF($C$11:$G$11,"Walkover won")+COUNTIF($H$12:$H$13,"Walkover lost"))))</f>
      </c>
      <c r="R11">
        <f>IF($L11="","",(COUNTIF($I$11:$J$11,"Walkover lost")+COUNTIF($H$6:$H$10,"Walkover won")+($J$4="Twice")*(COUNTIF($C$11:$G$11,"Walkover lost")+COUNTIF($H$12:$H$13,"Walkover won"))))</f>
      </c>
      <c r="S11">
        <f>IF($L11="","",3*(COUNTIF($I$11:$J$11,"3-*")+COUNTIF($H$6:$H$10,"?-3")+($J$4="Twice")*(COUNTIF($C$11:$G$11,"3-*")+COUNTIF($H$12:$H$13,"?-3")))+1*(COUNTIF($I$11:$J$11,"1-3")+COUNTIF($H$6:$H$10,"3-1")+($J$4="Twice")*(COUNTIF($C$11:$G$11,"1-3")+COUNTIF($H$12:$H$13,"3-1")))+2*(COUNTIF($I$11:$J$11,"2-3")+COUNTIF($H$6:$H$10,"3-2")+($J$4="Twice")*(COUNTIF($C$11:$G$11,"2-3")+COUNTIF($H$12:$H$13,"3-2")))+3*$Q11)</f>
      </c>
      <c r="T11">
        <f>IF($L11="","",1*(COUNTIF($I$11:$J$11,"3-1")+COUNTIF($H$6:$H$10,"1-3")+($J$4="Twice")*(COUNTIF($C$11:$G$11,"3-1")+COUNTIF($H$12:$H$13,"1-3")))+2*(COUNTIF($I$11:$J$11,"3-2")+COUNTIF($H$6:$H$10,"2-3")+($J$4="Twice")*(COUNTIF($C$11:$G$11,"3-2")+COUNTIF($H$12:$H$13,"2-3")))+3*(COUNTIF($I$11:$J$11,"?-3")+COUNTIF($H$6:$H$10,"3-*")+($J$4="Twice")*(COUNTIF($C$11:$G$11,"?-3")+COUNTIF($H$12:$H$13,"3-*")))+3*$R11)</f>
      </c>
      <c r="U11">
        <f>IF($L11="","",$N11*Settings!$C$5+$O11*Settings!$C$6+$P11*Settings!$C$7+$R11*Settings!$C$8)</f>
      </c>
      <c r="V11">
        <f>IF($L11="","",IF(AND($L$6&lt;&gt;"",$U$6=$U11),OR(RIGHT(H6,1)="3",H6="Walkover lost")*1+($J$4="Twice")*OR(LEFT(C11,1)="3",C11="Walkover won"),0)+IF(AND($L$7&lt;&gt;"",$U$7=$U11),OR(RIGHT(H7,1)="3",H7="Walkover lost")*1+($J$4="Twice")*OR(LEFT(D11,1)="3",D11="Walkover won"),0)+IF(AND($L$8&lt;&gt;"",$U$8=$U11),OR(RIGHT(H8,1)="3",H8="Walkover lost")*1+($J$4="Twice")*OR(LEFT(E11,1)="3",E11="Walkover won"),0)+IF(AND($L$9&lt;&gt;"",$U$9=$U11),OR(RIGHT(H9,1)="3",H9="Walkover lost")*1+($J$4="Twice")*OR(LEFT(F11,1)="3",F11="Walkover won"),0)+IF(AND($L$10&lt;&gt;"",$U$10=$U11),OR(RIGHT(H10,1)="3",H10="Walkover lost")*1+($J$4="Twice")*OR(LEFT(G11,1)="3",G11="Walkover won"),0)+IF(AND($L$12&lt;&gt;"",$U$12=$U11),OR(LEFT(I11,1)="3",I11="Walkover won")*1+($J$4="Twice")*OR(RIGHT(H12,1)="3",H12="Walkover lost"),0)+IF(AND($L$13&lt;&gt;"",$U$13=$U11),OR(LEFT(J11,1)="3",J11="Walkover won")*1+($J$4="Twice")*OR(RIGHT(H13,1)="3",H13="Walkover lost"),0))</f>
      </c>
      <c r="W11">
        <f>IF($L11="","",$U11*10000+$V11*1000+($S11-$T11+50)*10+3)</f>
      </c>
      <c r="X11">
        <f>IF($L11="","",1+COUNTIF($W$6:$W$13,"&gt;"&amp;$W11))</f>
      </c>
      <c r="Y11">
        <f>IF($L11="","",(COUNTIF($L$6:$L$13,"?*")-1)*(1+($J$4="Twice"))-$M11)</f>
      </c>
      <c r="Z11">
        <f>IF($L11="","",$O11+$P11+$R11)</f>
      </c>
      <c r="AA11">
        <f>IF(($J$4="Twice"),"0-3","")</f>
      </c>
    </row>
    <row r="12" ht="22" customHeight="1">
      <c r="A12" s="9">
        <v>7</v>
      </c>
      <c r="B12" s="10"/>
      <c r="C12" s="13">
        <f>IF(($J$4="Twice"),"",IF(I6="3-0","0-3",IF(I6="3-1","1-3",IF(I6="3-2","2-3",IF(I6="2-3","3-2",IF(I6="1-3","3-1",IF(I6="0-3","3-0",IF(I6="Walkover won","Walkover lost",IF(I6="Walkover lost","Walkover won","")))))))))</f>
      </c>
      <c r="D12" s="13">
        <f>IF(($J$4="Twice"),"",IF(I7="3-0","0-3",IF(I7="3-1","1-3",IF(I7="3-2","2-3",IF(I7="2-3","3-2",IF(I7="1-3","3-1",IF(I7="0-3","3-0",IF(I7="Walkover won","Walkover lost",IF(I7="Walkover lost","Walkover won","")))))))))</f>
      </c>
      <c r="E12" s="13">
        <f>IF(($J$4="Twice"),"",IF(I8="3-0","0-3",IF(I8="3-1","1-3",IF(I8="3-2","2-3",IF(I8="2-3","3-2",IF(I8="1-3","3-1",IF(I8="0-3","3-0",IF(I8="Walkover won","Walkover lost",IF(I8="Walkover lost","Walkover won","")))))))))</f>
      </c>
      <c r="F12" s="13">
        <f>IF(($J$4="Twice"),"",IF(I9="3-0","0-3",IF(I9="3-1","1-3",IF(I9="3-2","2-3",IF(I9="2-3","3-2",IF(I9="1-3","3-1",IF(I9="0-3","3-0",IF(I9="Walkover won","Walkover lost",IF(I9="Walkover lost","Walkover won","")))))))))</f>
      </c>
      <c r="G12" s="13">
        <f>IF(($J$4="Twice"),"",IF(I10="3-0","0-3",IF(I10="3-1","1-3",IF(I10="3-2","2-3",IF(I10="2-3","3-2",IF(I10="1-3","3-1",IF(I10="0-3","3-0",IF(I10="Walkover won","Walkover lost",IF(I10="Walkover lost","Walkover won","")))))))))</f>
      </c>
      <c r="H12" s="13">
        <f>IF(($J$4="Twice"),"",IF(I11="3-0","0-3",IF(I11="3-1","1-3",IF(I11="3-2","2-3",IF(I11="2-3","3-2",IF(I11="1-3","3-1",IF(I11="0-3","3-0",IF(I11="Walkover won","Walkover lost",IF(I11="Walkover lost","Walkover won","")))))))))</f>
      </c>
      <c r="I12" s="14"/>
      <c r="J12" s="12"/>
      <c r="L12">
        <f>IF($B12="","",$B12)</f>
      </c>
      <c r="M12">
        <f>IF($L12="","",(COUNTIF($J$12:$J$12,"?*")+COUNTIF($I$6:$I$11,"?*")+($J$4="Twice")*(COUNTIF($C$12:$H$12,"?*")+COUNTIF($I$13:$I$13,"?*"))))</f>
      </c>
      <c r="N12">
        <f>IF($L12="","",(COUNTIF($J$12:$J$12,"3-*")+COUNTIF($I$6:$I$11,"?-3")+($J$4="Twice")*(COUNTIF($C$12:$H$12,"3-*")+COUNTIF($I$13:$I$13,"?-3")))+(COUNTIF($J$12:$J$12,"Walkover won")+COUNTIF($I$6:$I$11,"Walkover lost")+($J$4="Twice")*(COUNTIF($C$12:$H$12,"Walkover won")+COUNTIF($I$13:$I$13,"Walkover lost"))))</f>
      </c>
      <c r="O12">
        <f>IF($L12="","",(COUNTIF($J$12:$J$12,"1-3")+COUNTIF($I$6:$I$11,"3-1")+($J$4="Twice")*(COUNTIF($C$12:$H$12,"1-3")+COUNTIF($I$13:$I$13,"3-1")))+(COUNTIF($J$12:$J$12,"2-3")+COUNTIF($I$6:$I$11,"3-2")+($J$4="Twice")*(COUNTIF($C$12:$H$12,"2-3")+COUNTIF($I$13:$I$13,"3-2"))))</f>
      </c>
      <c r="P12">
        <f>IF($L12="","",(COUNTIF($J$12:$J$12,"0-3")+COUNTIF($I$6:$I$11,"3-0")+($J$4="Twice")*(COUNTIF($C$12:$H$12,"0-3")+COUNTIF($I$13:$I$13,"3-0"))))</f>
      </c>
      <c r="Q12">
        <f>IF($L12="","",(COUNTIF($J$12:$J$12,"Walkover won")+COUNTIF($I$6:$I$11,"Walkover lost")+($J$4="Twice")*(COUNTIF($C$12:$H$12,"Walkover won")+COUNTIF($I$13:$I$13,"Walkover lost"))))</f>
      </c>
      <c r="R12">
        <f>IF($L12="","",(COUNTIF($J$12:$J$12,"Walkover lost")+COUNTIF($I$6:$I$11,"Walkover won")+($J$4="Twice")*(COUNTIF($C$12:$H$12,"Walkover lost")+COUNTIF($I$13:$I$13,"Walkover won"))))</f>
      </c>
      <c r="S12">
        <f>IF($L12="","",3*(COUNTIF($J$12:$J$12,"3-*")+COUNTIF($I$6:$I$11,"?-3")+($J$4="Twice")*(COUNTIF($C$12:$H$12,"3-*")+COUNTIF($I$13:$I$13,"?-3")))+1*(COUNTIF($J$12:$J$12,"1-3")+COUNTIF($I$6:$I$11,"3-1")+($J$4="Twice")*(COUNTIF($C$12:$H$12,"1-3")+COUNTIF($I$13:$I$13,"3-1")))+2*(COUNTIF($J$12:$J$12,"2-3")+COUNTIF($I$6:$I$11,"3-2")+($J$4="Twice")*(COUNTIF($C$12:$H$12,"2-3")+COUNTIF($I$13:$I$13,"3-2")))+3*$Q12)</f>
      </c>
      <c r="T12">
        <f>IF($L12="","",1*(COUNTIF($J$12:$J$12,"3-1")+COUNTIF($I$6:$I$11,"1-3")+($J$4="Twice")*(COUNTIF($C$12:$H$12,"3-1")+COUNTIF($I$13:$I$13,"1-3")))+2*(COUNTIF($J$12:$J$12,"3-2")+COUNTIF($I$6:$I$11,"2-3")+($J$4="Twice")*(COUNTIF($C$12:$H$12,"3-2")+COUNTIF($I$13:$I$13,"2-3")))+3*(COUNTIF($J$12:$J$12,"?-3")+COUNTIF($I$6:$I$11,"3-*")+($J$4="Twice")*(COUNTIF($C$12:$H$12,"?-3")+COUNTIF($I$13:$I$13,"3-*")))+3*$R12)</f>
      </c>
      <c r="U12">
        <f>IF($L12="","",$N12*Settings!$C$5+$O12*Settings!$C$6+$P12*Settings!$C$7+$R12*Settings!$C$8)</f>
      </c>
      <c r="V12">
        <f>IF($L12="","",IF(AND($L$6&lt;&gt;"",$U$6=$U12),OR(RIGHT(I6,1)="3",I6="Walkover lost")*1+($J$4="Twice")*OR(LEFT(C12,1)="3",C12="Walkover won"),0)+IF(AND($L$7&lt;&gt;"",$U$7=$U12),OR(RIGHT(I7,1)="3",I7="Walkover lost")*1+($J$4="Twice")*OR(LEFT(D12,1)="3",D12="Walkover won"),0)+IF(AND($L$8&lt;&gt;"",$U$8=$U12),OR(RIGHT(I8,1)="3",I8="Walkover lost")*1+($J$4="Twice")*OR(LEFT(E12,1)="3",E12="Walkover won"),0)+IF(AND($L$9&lt;&gt;"",$U$9=$U12),OR(RIGHT(I9,1)="3",I9="Walkover lost")*1+($J$4="Twice")*OR(LEFT(F12,1)="3",F12="Walkover won"),0)+IF(AND($L$10&lt;&gt;"",$U$10=$U12),OR(RIGHT(I10,1)="3",I10="Walkover lost")*1+($J$4="Twice")*OR(LEFT(G12,1)="3",G12="Walkover won"),0)+IF(AND($L$11&lt;&gt;"",$U$11=$U12),OR(RIGHT(I11,1)="3",I11="Walkover lost")*1+($J$4="Twice")*OR(LEFT(H12,1)="3",H12="Walkover won"),0)+IF(AND($L$13&lt;&gt;"",$U$13=$U12),OR(LEFT(J12,1)="3",J12="Walkover won")*1+($J$4="Twice")*OR(RIGHT(I13,1)="3",I13="Walkover lost"),0))</f>
      </c>
      <c r="W12">
        <f>IF($L12="","",$U12*10000+$V12*1000+($S12-$T12+50)*10+2)</f>
      </c>
      <c r="X12">
        <f>IF($L12="","",1+COUNTIF($W$6:$W$13,"&gt;"&amp;$W12))</f>
      </c>
      <c r="Y12">
        <f>IF($L12="","",(COUNTIF($L$6:$L$13,"?*")-1)*(1+($J$4="Twice"))-$M12)</f>
      </c>
      <c r="Z12">
        <f>IF($L12="","",$O12+$P12+$R12)</f>
      </c>
      <c r="AA12">
        <f>IF(($J$4="Twice"),"Walkover won","")</f>
      </c>
    </row>
    <row r="13" ht="22" customHeight="1">
      <c r="A13" s="9">
        <v>8</v>
      </c>
      <c r="B13" s="10"/>
      <c r="C13" s="13">
        <f>IF(($J$4="Twice"),"",IF(J6="3-0","0-3",IF(J6="3-1","1-3",IF(J6="3-2","2-3",IF(J6="2-3","3-2",IF(J6="1-3","3-1",IF(J6="0-3","3-0",IF(J6="Walkover won","Walkover lost",IF(J6="Walkover lost","Walkover won","")))))))))</f>
      </c>
      <c r="D13" s="13">
        <f>IF(($J$4="Twice"),"",IF(J7="3-0","0-3",IF(J7="3-1","1-3",IF(J7="3-2","2-3",IF(J7="2-3","3-2",IF(J7="1-3","3-1",IF(J7="0-3","3-0",IF(J7="Walkover won","Walkover lost",IF(J7="Walkover lost","Walkover won","")))))))))</f>
      </c>
      <c r="E13" s="13">
        <f>IF(($J$4="Twice"),"",IF(J8="3-0","0-3",IF(J8="3-1","1-3",IF(J8="3-2","2-3",IF(J8="2-3","3-2",IF(J8="1-3","3-1",IF(J8="0-3","3-0",IF(J8="Walkover won","Walkover lost",IF(J8="Walkover lost","Walkover won","")))))))))</f>
      </c>
      <c r="F13" s="13">
        <f>IF(($J$4="Twice"),"",IF(J9="3-0","0-3",IF(J9="3-1","1-3",IF(J9="3-2","2-3",IF(J9="2-3","3-2",IF(J9="1-3","3-1",IF(J9="0-3","3-0",IF(J9="Walkover won","Walkover lost",IF(J9="Walkover lost","Walkover won","")))))))))</f>
      </c>
      <c r="G13" s="13">
        <f>IF(($J$4="Twice"),"",IF(J10="3-0","0-3",IF(J10="3-1","1-3",IF(J10="3-2","2-3",IF(J10="2-3","3-2",IF(J10="1-3","3-1",IF(J10="0-3","3-0",IF(J10="Walkover won","Walkover lost",IF(J10="Walkover lost","Walkover won","")))))))))</f>
      </c>
      <c r="H13" s="13">
        <f>IF(($J$4="Twice"),"",IF(J11="3-0","0-3",IF(J11="3-1","1-3",IF(J11="3-2","2-3",IF(J11="2-3","3-2",IF(J11="1-3","3-1",IF(J11="0-3","3-0",IF(J11="Walkover won","Walkover lost",IF(J11="Walkover lost","Walkover won","")))))))))</f>
      </c>
      <c r="I13" s="13">
        <f>IF(($J$4="Twice"),"",IF(J12="3-0","0-3",IF(J12="3-1","1-3",IF(J12="3-2","2-3",IF(J12="2-3","3-2",IF(J12="1-3","3-1",IF(J12="0-3","3-0",IF(J12="Walkover won","Walkover lost",IF(J12="Walkover lost","Walkover won","")))))))))</f>
      </c>
      <c r="J13" s="14"/>
      <c r="L13">
        <f>IF($B13="","",$B13)</f>
      </c>
      <c r="M13">
        <f>IF($L13="","",(0+COUNTIF($J$6:$J$12,"?*")+($J$4="Twice")*(COUNTIF($C$13:$I$13,"?*")+0)))</f>
      </c>
      <c r="N13">
        <f>IF($L13="","",(0+COUNTIF($J$6:$J$12,"?-3")+($J$4="Twice")*(COUNTIF($C$13:$I$13,"3-*")+0))+(0+COUNTIF($J$6:$J$12,"Walkover lost")+($J$4="Twice")*(COUNTIF($C$13:$I$13,"Walkover won")+0)))</f>
      </c>
      <c r="O13">
        <f>IF($L13="","",(0+COUNTIF($J$6:$J$12,"3-1")+($J$4="Twice")*(COUNTIF($C$13:$I$13,"1-3")+0))+(0+COUNTIF($J$6:$J$12,"3-2")+($J$4="Twice")*(COUNTIF($C$13:$I$13,"2-3")+0)))</f>
      </c>
      <c r="P13">
        <f>IF($L13="","",(0+COUNTIF($J$6:$J$12,"3-0")+($J$4="Twice")*(COUNTIF($C$13:$I$13,"0-3")+0)))</f>
      </c>
      <c r="Q13">
        <f>IF($L13="","",(0+COUNTIF($J$6:$J$12,"Walkover lost")+($J$4="Twice")*(COUNTIF($C$13:$I$13,"Walkover won")+0)))</f>
      </c>
      <c r="R13">
        <f>IF($L13="","",(0+COUNTIF($J$6:$J$12,"Walkover won")+($J$4="Twice")*(COUNTIF($C$13:$I$13,"Walkover lost")+0)))</f>
      </c>
      <c r="S13">
        <f>IF($L13="","",3*(0+COUNTIF($J$6:$J$12,"?-3")+($J$4="Twice")*(COUNTIF($C$13:$I$13,"3-*")+0))+1*(0+COUNTIF($J$6:$J$12,"3-1")+($J$4="Twice")*(COUNTIF($C$13:$I$13,"1-3")+0))+2*(0+COUNTIF($J$6:$J$12,"3-2")+($J$4="Twice")*(COUNTIF($C$13:$I$13,"2-3")+0))+3*$Q13)</f>
      </c>
      <c r="T13">
        <f>IF($L13="","",1*(0+COUNTIF($J$6:$J$12,"1-3")+($J$4="Twice")*(COUNTIF($C$13:$I$13,"3-1")+0))+2*(0+COUNTIF($J$6:$J$12,"2-3")+($J$4="Twice")*(COUNTIF($C$13:$I$13,"3-2")+0))+3*(0+COUNTIF($J$6:$J$12,"3-*")+($J$4="Twice")*(COUNTIF($C$13:$I$13,"?-3")+0))+3*$R13)</f>
      </c>
      <c r="U13">
        <f>IF($L13="","",$N13*Settings!$C$5+$O13*Settings!$C$6+$P13*Settings!$C$7+$R13*Settings!$C$8)</f>
      </c>
      <c r="V13">
        <f>IF($L13="","",IF(AND($L$6&lt;&gt;"",$U$6=$U13),OR(RIGHT(J6,1)="3",J6="Walkover lost")*1+($J$4="Twice")*OR(LEFT(C13,1)="3",C13="Walkover won"),0)+IF(AND($L$7&lt;&gt;"",$U$7=$U13),OR(RIGHT(J7,1)="3",J7="Walkover lost")*1+($J$4="Twice")*OR(LEFT(D13,1)="3",D13="Walkover won"),0)+IF(AND($L$8&lt;&gt;"",$U$8=$U13),OR(RIGHT(J8,1)="3",J8="Walkover lost")*1+($J$4="Twice")*OR(LEFT(E13,1)="3",E13="Walkover won"),0)+IF(AND($L$9&lt;&gt;"",$U$9=$U13),OR(RIGHT(J9,1)="3",J9="Walkover lost")*1+($J$4="Twice")*OR(LEFT(F13,1)="3",F13="Walkover won"),0)+IF(AND($L$10&lt;&gt;"",$U$10=$U13),OR(RIGHT(J10,1)="3",J10="Walkover lost")*1+($J$4="Twice")*OR(LEFT(G13,1)="3",G13="Walkover won"),0)+IF(AND($L$11&lt;&gt;"",$U$11=$U13),OR(RIGHT(J11,1)="3",J11="Walkover lost")*1+($J$4="Twice")*OR(LEFT(H13,1)="3",H13="Walkover won"),0)+IF(AND($L$12&lt;&gt;"",$U$12=$U13),OR(RIGHT(J12,1)="3",J12="Walkover lost")*1+($J$4="Twice")*OR(LEFT(I13,1)="3",I13="Walkover won"),0))</f>
      </c>
      <c r="W13">
        <f>IF($L13="","",$U13*10000+$V13*1000+($S13-$T13+50)*10+1)</f>
      </c>
      <c r="X13">
        <f>IF($L13="","",1+COUNTIF($W$6:$W$13,"&gt;"&amp;$W13))</f>
      </c>
      <c r="Y13">
        <f>IF($L13="","",(COUNTIF($L$6:$L$13,"?*")-1)*(1+($J$4="Twice"))-$M13)</f>
      </c>
      <c r="Z13">
        <f>IF($L13="","",$O13+$P13+$R13)</f>
      </c>
      <c r="AA13">
        <f>IF(($J$4="Twice"),"Walkover lost","")</f>
      </c>
    </row>
    <row r="14" ht="30" customHeight="1">
      <c r="A14" s="6">
        <f>IF(($J$4="Twice"),"Playing twice: the first match goes above the dark diagonal and the second below it, both from the row player's side. Green is a win, amber a loss having won a game, red a loss.","Playing once: pick each result above the dark diagonal, from the row player's side, and the grey half below fills itself in. Green is a win, amber a loss having won a game, red a loss.")</f>
      </c>
    </row>
    <row r="15"/>
    <row r="16">
      <c r="A16" s="5" t="inlineStr">
        <is>
          <t xml:space="preserve">The table</t>
        </is>
      </c>
      <c r="B16" s="5"/>
      <c r="C16" s="5"/>
      <c r="D16" s="5"/>
      <c r="E16" s="5"/>
      <c r="F16" s="5"/>
      <c r="G16" s="5"/>
      <c r="H16" s="5"/>
      <c r="I16" s="5"/>
      <c r="J16" s="5"/>
    </row>
    <row r="17" ht="24" customHeight="1">
      <c r="A17" s="7" t="inlineStr">
        <is>
          <t xml:space="preserve">Place</t>
        </is>
      </c>
      <c r="B17" s="8" t="inlineStr">
        <is>
          <t xml:space="preserve">Player</t>
        </is>
      </c>
      <c r="C17" s="7" t="inlineStr">
        <is>
          <t xml:space="preserve">Played</t>
        </is>
      </c>
      <c r="D17" s="7" t="inlineStr">
        <is>
          <t xml:space="preserve">Won</t>
        </is>
      </c>
      <c r="E17" s="7" t="inlineStr">
        <is>
          <t xml:space="preserve">Lost</t>
        </is>
      </c>
      <c r="F17" s="7" t="inlineStr">
        <is>
          <t xml:space="preserve">Games</t>
        </is>
      </c>
      <c r="G17" s="7" t="inlineStr">
        <is>
          <t xml:space="preserve">Points</t>
        </is>
      </c>
      <c r="H17" s="7" t="inlineStr">
        <is>
          <t xml:space="preserve">Left</t>
        </is>
      </c>
      <c r="I17" s="7" t="inlineStr">
        <is>
          <t xml:space="preserve">Moves</t>
        </is>
      </c>
      <c r="J17" s="7"/>
    </row>
    <row r="18" ht="22" customHeight="1">
      <c r="A18" s="17">
        <f>IF(1&gt;COUNTIF($L$6:$L$13,"?*"),"",1)</f>
      </c>
      <c r="B18" s="16">
        <f>IF($A18="","",INDEX($L$6:$L$13,MATCH(1,$X$6:$X$13,0)))</f>
      </c>
      <c r="C18" s="15">
        <f>IF($A18="","",INDEX($M$6:$M$13,MATCH(1,$X$6:$X$13,0)))</f>
      </c>
      <c r="D18" s="15">
        <f>IF($A18="","",INDEX($N$6:$N$13,MATCH(1,$X$6:$X$13,0)))</f>
      </c>
      <c r="E18" s="15">
        <f>IF($A18="","",INDEX($Z$6:$Z$13,MATCH(1,$X$6:$X$13,0)))</f>
      </c>
      <c r="F18" s="15">
        <f>IF($A18="","",INDEX($S$6:$S$13,MATCH(1,$X$6:$X$13,0))&amp;"-"&amp;INDEX($T$6:$T$13,MATCH(1,$X$6:$X$13,0)))</f>
      </c>
      <c r="G18" s="18">
        <f>IF($A18="","",INDEX($U$6:$U$13,MATCH(1,$X$6:$X$13,0)))</f>
      </c>
      <c r="H18" s="15">
        <f>IF($A18="","",INDEX($Y$6:$Y$13,MATCH(1,$X$6:$X$13,0)))</f>
      </c>
      <c r="I18" s="15">
        <f>IF($A18="","",IF(AND($A18&lt;=Settings!$C$11,INDEX($M$6:$M$13,MATCH(1,$X$6:$X$13,0))&gt;=Settings!$C$13),"Up",IF(AND(4&lt;Settings!$C$14,$A18&gt;COUNTIF($L$6:$L$13,"?*")-Settings!$C$12),"Down","")))</f>
      </c>
      <c r="J18" s="15"/>
    </row>
    <row r="19" ht="22" customHeight="1">
      <c r="A19" s="17">
        <f>IF(2&gt;COUNTIF($L$6:$L$13,"?*"),"",2)</f>
      </c>
      <c r="B19" s="16">
        <f>IF($A19="","",INDEX($L$6:$L$13,MATCH(2,$X$6:$X$13,0)))</f>
      </c>
      <c r="C19" s="15">
        <f>IF($A19="","",INDEX($M$6:$M$13,MATCH(2,$X$6:$X$13,0)))</f>
      </c>
      <c r="D19" s="15">
        <f>IF($A19="","",INDEX($N$6:$N$13,MATCH(2,$X$6:$X$13,0)))</f>
      </c>
      <c r="E19" s="15">
        <f>IF($A19="","",INDEX($Z$6:$Z$13,MATCH(2,$X$6:$X$13,0)))</f>
      </c>
      <c r="F19" s="15">
        <f>IF($A19="","",INDEX($S$6:$S$13,MATCH(2,$X$6:$X$13,0))&amp;"-"&amp;INDEX($T$6:$T$13,MATCH(2,$X$6:$X$13,0)))</f>
      </c>
      <c r="G19" s="18">
        <f>IF($A19="","",INDEX($U$6:$U$13,MATCH(2,$X$6:$X$13,0)))</f>
      </c>
      <c r="H19" s="15">
        <f>IF($A19="","",INDEX($Y$6:$Y$13,MATCH(2,$X$6:$X$13,0)))</f>
      </c>
      <c r="I19" s="15">
        <f>IF($A19="","",IF(AND($A19&lt;=Settings!$C$11,INDEX($M$6:$M$13,MATCH(2,$X$6:$X$13,0))&gt;=Settings!$C$13),"Up",IF(AND(4&lt;Settings!$C$14,$A19&gt;COUNTIF($L$6:$L$13,"?*")-Settings!$C$12),"Down","")))</f>
      </c>
      <c r="J19" s="15"/>
    </row>
    <row r="20" ht="22" customHeight="1">
      <c r="A20" s="17">
        <f>IF(3&gt;COUNTIF($L$6:$L$13,"?*"),"",3)</f>
      </c>
      <c r="B20" s="16">
        <f>IF($A20="","",INDEX($L$6:$L$13,MATCH(3,$X$6:$X$13,0)))</f>
      </c>
      <c r="C20" s="15">
        <f>IF($A20="","",INDEX($M$6:$M$13,MATCH(3,$X$6:$X$13,0)))</f>
      </c>
      <c r="D20" s="15">
        <f>IF($A20="","",INDEX($N$6:$N$13,MATCH(3,$X$6:$X$13,0)))</f>
      </c>
      <c r="E20" s="15">
        <f>IF($A20="","",INDEX($Z$6:$Z$13,MATCH(3,$X$6:$X$13,0)))</f>
      </c>
      <c r="F20" s="15">
        <f>IF($A20="","",INDEX($S$6:$S$13,MATCH(3,$X$6:$X$13,0))&amp;"-"&amp;INDEX($T$6:$T$13,MATCH(3,$X$6:$X$13,0)))</f>
      </c>
      <c r="G20" s="18">
        <f>IF($A20="","",INDEX($U$6:$U$13,MATCH(3,$X$6:$X$13,0)))</f>
      </c>
      <c r="H20" s="15">
        <f>IF($A20="","",INDEX($Y$6:$Y$13,MATCH(3,$X$6:$X$13,0)))</f>
      </c>
      <c r="I20" s="15">
        <f>IF($A20="","",IF(AND($A20&lt;=Settings!$C$11,INDEX($M$6:$M$13,MATCH(3,$X$6:$X$13,0))&gt;=Settings!$C$13),"Up",IF(AND(4&lt;Settings!$C$14,$A20&gt;COUNTIF($L$6:$L$13,"?*")-Settings!$C$12),"Down","")))</f>
      </c>
      <c r="J20" s="15"/>
    </row>
    <row r="21" ht="22" customHeight="1">
      <c r="A21" s="17">
        <f>IF(4&gt;COUNTIF($L$6:$L$13,"?*"),"",4)</f>
      </c>
      <c r="B21" s="16">
        <f>IF($A21="","",INDEX($L$6:$L$13,MATCH(4,$X$6:$X$13,0)))</f>
      </c>
      <c r="C21" s="15">
        <f>IF($A21="","",INDEX($M$6:$M$13,MATCH(4,$X$6:$X$13,0)))</f>
      </c>
      <c r="D21" s="15">
        <f>IF($A21="","",INDEX($N$6:$N$13,MATCH(4,$X$6:$X$13,0)))</f>
      </c>
      <c r="E21" s="15">
        <f>IF($A21="","",INDEX($Z$6:$Z$13,MATCH(4,$X$6:$X$13,0)))</f>
      </c>
      <c r="F21" s="15">
        <f>IF($A21="","",INDEX($S$6:$S$13,MATCH(4,$X$6:$X$13,0))&amp;"-"&amp;INDEX($T$6:$T$13,MATCH(4,$X$6:$X$13,0)))</f>
      </c>
      <c r="G21" s="18">
        <f>IF($A21="","",INDEX($U$6:$U$13,MATCH(4,$X$6:$X$13,0)))</f>
      </c>
      <c r="H21" s="15">
        <f>IF($A21="","",INDEX($Y$6:$Y$13,MATCH(4,$X$6:$X$13,0)))</f>
      </c>
      <c r="I21" s="15">
        <f>IF($A21="","",IF(AND($A21&lt;=Settings!$C$11,INDEX($M$6:$M$13,MATCH(4,$X$6:$X$13,0))&gt;=Settings!$C$13),"Up",IF(AND(4&lt;Settings!$C$14,$A21&gt;COUNTIF($L$6:$L$13,"?*")-Settings!$C$12),"Down","")))</f>
      </c>
      <c r="J21" s="15"/>
    </row>
    <row r="22" ht="22" customHeight="1">
      <c r="A22" s="17">
        <f>IF(5&gt;COUNTIF($L$6:$L$13,"?*"),"",5)</f>
      </c>
      <c r="B22" s="16">
        <f>IF($A22="","",INDEX($L$6:$L$13,MATCH(5,$X$6:$X$13,0)))</f>
      </c>
      <c r="C22" s="15">
        <f>IF($A22="","",INDEX($M$6:$M$13,MATCH(5,$X$6:$X$13,0)))</f>
      </c>
      <c r="D22" s="15">
        <f>IF($A22="","",INDEX($N$6:$N$13,MATCH(5,$X$6:$X$13,0)))</f>
      </c>
      <c r="E22" s="15">
        <f>IF($A22="","",INDEX($Z$6:$Z$13,MATCH(5,$X$6:$X$13,0)))</f>
      </c>
      <c r="F22" s="15">
        <f>IF($A22="","",INDEX($S$6:$S$13,MATCH(5,$X$6:$X$13,0))&amp;"-"&amp;INDEX($T$6:$T$13,MATCH(5,$X$6:$X$13,0)))</f>
      </c>
      <c r="G22" s="18">
        <f>IF($A22="","",INDEX($U$6:$U$13,MATCH(5,$X$6:$X$13,0)))</f>
      </c>
      <c r="H22" s="15">
        <f>IF($A22="","",INDEX($Y$6:$Y$13,MATCH(5,$X$6:$X$13,0)))</f>
      </c>
      <c r="I22" s="15">
        <f>IF($A22="","",IF(AND($A22&lt;=Settings!$C$11,INDEX($M$6:$M$13,MATCH(5,$X$6:$X$13,0))&gt;=Settings!$C$13),"Up",IF(AND(4&lt;Settings!$C$14,$A22&gt;COUNTIF($L$6:$L$13,"?*")-Settings!$C$12),"Down","")))</f>
      </c>
      <c r="J22" s="15"/>
    </row>
    <row r="23" ht="22" customHeight="1">
      <c r="A23" s="17">
        <f>IF(6&gt;COUNTIF($L$6:$L$13,"?*"),"",6)</f>
      </c>
      <c r="B23" s="16">
        <f>IF($A23="","",INDEX($L$6:$L$13,MATCH(6,$X$6:$X$13,0)))</f>
      </c>
      <c r="C23" s="15">
        <f>IF($A23="","",INDEX($M$6:$M$13,MATCH(6,$X$6:$X$13,0)))</f>
      </c>
      <c r="D23" s="15">
        <f>IF($A23="","",INDEX($N$6:$N$13,MATCH(6,$X$6:$X$13,0)))</f>
      </c>
      <c r="E23" s="15">
        <f>IF($A23="","",INDEX($Z$6:$Z$13,MATCH(6,$X$6:$X$13,0)))</f>
      </c>
      <c r="F23" s="15">
        <f>IF($A23="","",INDEX($S$6:$S$13,MATCH(6,$X$6:$X$13,0))&amp;"-"&amp;INDEX($T$6:$T$13,MATCH(6,$X$6:$X$13,0)))</f>
      </c>
      <c r="G23" s="18">
        <f>IF($A23="","",INDEX($U$6:$U$13,MATCH(6,$X$6:$X$13,0)))</f>
      </c>
      <c r="H23" s="15">
        <f>IF($A23="","",INDEX($Y$6:$Y$13,MATCH(6,$X$6:$X$13,0)))</f>
      </c>
      <c r="I23" s="15">
        <f>IF($A23="","",IF(AND($A23&lt;=Settings!$C$11,INDEX($M$6:$M$13,MATCH(6,$X$6:$X$13,0))&gt;=Settings!$C$13),"Up",IF(AND(4&lt;Settings!$C$14,$A23&gt;COUNTIF($L$6:$L$13,"?*")-Settings!$C$12),"Down","")))</f>
      </c>
      <c r="J23" s="15"/>
    </row>
    <row r="24" ht="22" customHeight="1">
      <c r="A24" s="17">
        <f>IF(7&gt;COUNTIF($L$6:$L$13,"?*"),"",7)</f>
      </c>
      <c r="B24" s="16">
        <f>IF($A24="","",INDEX($L$6:$L$13,MATCH(7,$X$6:$X$13,0)))</f>
      </c>
      <c r="C24" s="15">
        <f>IF($A24="","",INDEX($M$6:$M$13,MATCH(7,$X$6:$X$13,0)))</f>
      </c>
      <c r="D24" s="15">
        <f>IF($A24="","",INDEX($N$6:$N$13,MATCH(7,$X$6:$X$13,0)))</f>
      </c>
      <c r="E24" s="15">
        <f>IF($A24="","",INDEX($Z$6:$Z$13,MATCH(7,$X$6:$X$13,0)))</f>
      </c>
      <c r="F24" s="15">
        <f>IF($A24="","",INDEX($S$6:$S$13,MATCH(7,$X$6:$X$13,0))&amp;"-"&amp;INDEX($T$6:$T$13,MATCH(7,$X$6:$X$13,0)))</f>
      </c>
      <c r="G24" s="18">
        <f>IF($A24="","",INDEX($U$6:$U$13,MATCH(7,$X$6:$X$13,0)))</f>
      </c>
      <c r="H24" s="15">
        <f>IF($A24="","",INDEX($Y$6:$Y$13,MATCH(7,$X$6:$X$13,0)))</f>
      </c>
      <c r="I24" s="15">
        <f>IF($A24="","",IF(AND($A24&lt;=Settings!$C$11,INDEX($M$6:$M$13,MATCH(7,$X$6:$X$13,0))&gt;=Settings!$C$13),"Up",IF(AND(4&lt;Settings!$C$14,$A24&gt;COUNTIF($L$6:$L$13,"?*")-Settings!$C$12),"Down","")))</f>
      </c>
      <c r="J24" s="15"/>
    </row>
    <row r="25" ht="22" customHeight="1">
      <c r="A25" s="17">
        <f>IF(8&gt;COUNTIF($L$6:$L$13,"?*"),"",8)</f>
      </c>
      <c r="B25" s="16">
        <f>IF($A25="","",INDEX($L$6:$L$13,MATCH(8,$X$6:$X$13,0)))</f>
      </c>
      <c r="C25" s="15">
        <f>IF($A25="","",INDEX($M$6:$M$13,MATCH(8,$X$6:$X$13,0)))</f>
      </c>
      <c r="D25" s="15">
        <f>IF($A25="","",INDEX($N$6:$N$13,MATCH(8,$X$6:$X$13,0)))</f>
      </c>
      <c r="E25" s="15">
        <f>IF($A25="","",INDEX($Z$6:$Z$13,MATCH(8,$X$6:$X$13,0)))</f>
      </c>
      <c r="F25" s="15">
        <f>IF($A25="","",INDEX($S$6:$S$13,MATCH(8,$X$6:$X$13,0))&amp;"-"&amp;INDEX($T$6:$T$13,MATCH(8,$X$6:$X$13,0)))</f>
      </c>
      <c r="G25" s="18">
        <f>IF($A25="","",INDEX($U$6:$U$13,MATCH(8,$X$6:$X$13,0)))</f>
      </c>
      <c r="H25" s="15">
        <f>IF($A25="","",INDEX($Y$6:$Y$13,MATCH(8,$X$6:$X$13,0)))</f>
      </c>
      <c r="I25" s="15">
        <f>IF($A25="","",IF(AND($A25&lt;=Settings!$C$11,INDEX($M$6:$M$13,MATCH(8,$X$6:$X$13,0))&gt;=Settings!$C$13),"Up",IF(AND(4&lt;Settings!$C$14,$A25&gt;COUNTIF($L$6:$L$13,"?*")-Settings!$C$12),"Down","")))</f>
      </c>
      <c r="J25" s="15"/>
    </row>
    <row r="26"/>
    <row r="27" ht="30" customHeight="1">
      <c r="A27" s="6" t="inlineStr">
        <is>
          <t xml:space="preserve">Level on points: the result between the players decides, then game difference, then the order the names were typed. Up and Down follow the Settings tab.</t>
        </is>
      </c>
    </row>
    <row r="28"/>
    <row r="29" ht="32" customHeight="1">
      <c r="A29" s="2" t="inlineStr">
        <is>
          <t xml:space="preserve">Made with Clayside's free squash box league spreadsheet. Let the players enter the scores instead.</t>
        </is>
      </c>
      <c r="B29" s="2"/>
      <c r="C29" s="2"/>
      <c r="D29" s="2"/>
      <c r="E29" s="2"/>
      <c r="F29" s="2"/>
      <c r="G29" s="2"/>
      <c r="H29" s="2"/>
      <c r="I29" s="4" t="inlineStr">
        <is>
          <t xml:space="preserve">clayside.app</t>
        </is>
      </c>
      <c r="J29" s="4"/>
    </row>
  </sheetData>
  <mergeCells count="17">
    <mergeCell ref="A2:J2"/>
    <mergeCell ref="A4:G4"/>
    <mergeCell ref="H4:I4"/>
    <mergeCell ref="A14:J14"/>
    <mergeCell ref="A16:J16"/>
    <mergeCell ref="I17:J17"/>
    <mergeCell ref="A27:J27"/>
    <mergeCell ref="A29:H29"/>
    <mergeCell ref="I29:J29"/>
    <mergeCell ref="I18:J18"/>
    <mergeCell ref="I19:J19"/>
    <mergeCell ref="I20:J20"/>
    <mergeCell ref="I21:J21"/>
    <mergeCell ref="I22:J22"/>
    <mergeCell ref="I23:J23"/>
    <mergeCell ref="I24:J24"/>
    <mergeCell ref="I25:J25"/>
  </mergeCells>
  <conditionalFormatting sqref="C6:J13">
    <cfRule type="expression" dxfId="6" priority="1">
      <formula>AND($J$4&lt;&gt;"Twice",ROW(C6)-6&gt;COLUMN(C6)-3)</formula>
    </cfRule>
    <cfRule type="expression" dxfId="0" priority="2">
      <formula>OR(LEFT(C6,1)="3",C6="Walkover won")</formula>
    </cfRule>
    <cfRule type="expression" dxfId="1" priority="3">
      <formula>OR(C6="1-3",C6="2-3")</formula>
    </cfRule>
    <cfRule type="expression" dxfId="2" priority="4">
      <formula>OR(C6="0-3",C6="Walkover lost")</formula>
    </cfRule>
    <cfRule type="expression" dxfId="5" priority="5">
      <formula>AND($J$4="Twice",ROW(C6)-6&gt;COLUMN(C6)-3)</formula>
    </cfRule>
  </conditionalFormatting>
  <conditionalFormatting sqref="I18:I25">
    <cfRule type="expression" dxfId="3" priority="6">
      <formula>I18="Up"</formula>
    </cfRule>
    <cfRule type="expression" dxfId="4" priority="7">
      <formula>I18="Down"</formula>
    </cfRule>
  </conditionalFormatting>
  <dataValidations count="3">
    <dataValidation type="list" allowBlank="1" showInputMessage="1" showErrorMessage="1" errorStyle="stop" errorTitle="Once or twice" error="Pick Once or Twice." promptTitle="Once or twice" prompt="Does each pair in this box play once, or twice?" sqref="J4">
      <formula1>"Once,Twice"</formula1>
    </dataValidation>
    <dataValidation type="list" allowBlank="1" showInputMessage="1" showErrorMessage="1" errorStyle="stop" errorTitle="Pick a result from the list" error="A result is 3-0, 3-1, 3-2, 2-3, 1-3 or 0-3 in games, or a walkover. Pick one from the drop-down." promptTitle="The result" prompt="Pick the result from the row player's side. Played twice, this is the first match." sqref="D6 E6 F6 G6 H6 I6 J6 E7 F7 G7 H7 I7 J7 F8 G8 H8 I8 J8 G9 H9 I9 J9 H10 I10 J10 I11 J11 J12">
      <formula1>"3-0,3-1,3-2,2-3,1-3,0-3,Walkover won,Walkover lost"</formula1>
    </dataValidation>
    <dataValidation type="list" allowBlank="0" showInputMessage="1" showErrorMessage="1" errorStyle="stop" errorTitle="Not this square" error="Playing once, the result goes in the cream square above the dark diagonal. Playing twice, pick 3-0, 3-1, 3-2, 2-3, 1-3, 0-3 or a walkover from the drop-down." promptTitle="Below the diagonal" prompt="Playing once, leave this half alone: it fills itself in from the result above. Playing twice, pick the second match here." sqref="C7 C8 D8 C9 D9 E9 C10 D10 E10 F10 C11 D11 E11 F11 G11 C12 D12 E12 F12 G12 H12 C13 D13 E13 F13 G13 H13 I13">
      <formula1>$AA$6:$AA$13</formula1>
    </dataValidation>
  </dataValidations>
  <pageMargins left="0.4" right="0.4" top="0.5" bottom="0.5" header="0.3" footer="0.3"/>
  <pageSetup paperSize="9" orientation="landscape" fitToWidth="1" fitToHeight="1"/>
</worksheet>
</file>

<file path=xl/worksheets/sheet6.xml><?xml version="1.0" encoding="utf-8"?>
<worksheet xmlns="http://schemas.openxmlformats.org/spreadsheetml/2006/main">
  <sheetPr>
    <tabColor rgb="FF846528"/>
    <pageSetUpPr fitToPage="1"/>
  </sheetPr>
  <sheetViews>
    <sheetView workbookViewId="0" showGridLines="0"/>
  </sheetViews>
  <cols>
    <col min="1" max="1" width="30" customWidth="1"/>
    <col min="2" max="2" width="4" customWidth="1"/>
    <col min="3" max="3" width="10" customWidth="1"/>
    <col min="4" max="4" width="16" customWidth="1"/>
  </cols>
  <sheetData>
    <row r="1" ht="34" customHeight="1">
      <c r="A1" s="1" t="inlineStr">
        <is>
          <t xml:space="preserve">Settings</t>
        </is>
      </c>
      <c r="B1" s="2"/>
      <c r="C1" s="2"/>
      <c r="D1" s="2"/>
    </row>
    <row r="2" ht="22" customHeight="1">
      <c r="A2" s="6" t="inlineStr">
        <is>
          <t xml:space="preserve">Change a number here and every box follows.</t>
        </is>
      </c>
    </row>
    <row r="3"/>
    <row r="4" ht="24" customHeight="1">
      <c r="A4" s="5" t="inlineStr">
        <is>
          <t xml:space="preserve">Points for each result</t>
        </is>
      </c>
      <c r="B4" s="5"/>
      <c r="C4" s="5"/>
    </row>
    <row r="5" ht="22" customHeight="1">
      <c r="A5" s="19" t="inlineStr">
        <is>
          <t xml:space="preserve">A win</t>
        </is>
      </c>
      <c r="B5" s="19"/>
      <c r="C5" s="20">
        <v>3</v>
      </c>
    </row>
    <row r="6" ht="22" customHeight="1">
      <c r="A6" s="19" t="inlineStr">
        <is>
          <t xml:space="preserve">A loss, having won a game</t>
        </is>
      </c>
      <c r="B6" s="19"/>
      <c r="C6" s="20">
        <v>2</v>
      </c>
    </row>
    <row r="7" ht="22" customHeight="1">
      <c r="A7" s="19" t="inlineStr">
        <is>
          <t xml:space="preserve">A loss in straight games</t>
        </is>
      </c>
      <c r="B7" s="19"/>
      <c r="C7" s="20">
        <v>1</v>
      </c>
    </row>
    <row r="8" ht="22" customHeight="1">
      <c r="A8" s="19" t="inlineStr">
        <is>
          <t xml:space="preserve">A walkover lost</t>
        </is>
      </c>
      <c r="B8" s="19"/>
      <c r="C8" s="20">
        <v>0</v>
      </c>
    </row>
    <row r="9"/>
    <row r="10" ht="24" customHeight="1">
      <c r="A10" s="5" t="inlineStr">
        <is>
          <t xml:space="preserve">Going up and going down</t>
        </is>
      </c>
      <c r="B10" s="5"/>
      <c r="C10" s="5"/>
    </row>
    <row r="11" ht="22" customHeight="1">
      <c r="A11" s="19" t="inlineStr">
        <is>
          <t xml:space="preserve">Players up from each box</t>
        </is>
      </c>
      <c r="B11" s="19"/>
      <c r="C11" s="20">
        <v>1</v>
      </c>
    </row>
    <row r="12" ht="22" customHeight="1">
      <c r="A12" s="19" t="inlineStr">
        <is>
          <t xml:space="preserve">Players down from each box</t>
        </is>
      </c>
      <c r="B12" s="19"/>
      <c r="C12" s="20">
        <v>1</v>
      </c>
    </row>
    <row r="13" ht="22" customHeight="1">
      <c r="A13" s="19" t="inlineStr">
        <is>
          <t xml:space="preserve">Matches played to go up</t>
        </is>
      </c>
      <c r="B13" s="19"/>
      <c r="C13" s="20">
        <v>2</v>
      </c>
    </row>
    <row r="14" ht="22" customHeight="1">
      <c r="A14" s="19" t="inlineStr">
        <is>
          <t xml:space="preserve">Boxes in use</t>
        </is>
      </c>
      <c r="B14" s="19"/>
      <c r="C14" s="20">
        <v>4</v>
      </c>
    </row>
    <row r="15"/>
    <row r="16" ht="32" customHeight="1">
      <c r="A16" s="6" t="inlineStr">
        <is>
          <t xml:space="preserve">Box 1 sends nobody up and the last box in use sends nobody down. A player short of the matches to go up stays where they are.</t>
        </is>
      </c>
    </row>
  </sheetData>
  <mergeCells count="12">
    <mergeCell ref="A2:D2"/>
    <mergeCell ref="A4:B4"/>
    <mergeCell ref="A10:B10"/>
    <mergeCell ref="A16:D16"/>
    <mergeCell ref="A5:B5"/>
    <mergeCell ref="A6:B6"/>
    <mergeCell ref="A7:B7"/>
    <mergeCell ref="A8:B8"/>
    <mergeCell ref="A11:B11"/>
    <mergeCell ref="A12:B12"/>
    <mergeCell ref="A13:B13"/>
    <mergeCell ref="A14:B14"/>
  </mergeCells>
  <pageMargins left="0.4" right="0.4" top="0.5" bottom="0.5" header="0.3" footer="0.3"/>
  <pageSetup paperSize="9" orientation="portrait" fitToWidth="1" fitToHeight="1"/>
</worksheet>
</file>